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codeName="ThisWorkbook" defaultThemeVersion="124226"/>
  <bookViews>
    <workbookView xWindow="480" yWindow="120" windowWidth="15195" windowHeight="11760" activeTab="4"/>
  </bookViews>
  <sheets>
    <sheet name="page_garde" sheetId="39" r:id="rId1"/>
    <sheet name="DBM 2 " sheetId="34" r:id="rId2"/>
    <sheet name="DBM 2 par nature" sheetId="38" r:id="rId3"/>
    <sheet name="DBM 2 par compte" sheetId="36" r:id="rId4"/>
    <sheet name="DBM 2 Lolf" sheetId="35" r:id="rId5"/>
  </sheets>
  <definedNames/>
  <calcPr calcId="144525"/>
</workbook>
</file>

<file path=xl/comments2.xml><?xml version="1.0" encoding="utf-8"?>
<comments xmlns="http://schemas.openxmlformats.org/spreadsheetml/2006/main">
  <authors>
    <author>Elsa Claron</author>
  </authors>
  <commentList>
    <comment ref="E16" authorId="0">
      <text>
        <r>
          <rPr>
            <b/>
            <sz val="8"/>
            <rFont val="Tahoma"/>
            <family val="2"/>
          </rPr>
          <t>Elsa Claron:</t>
        </r>
        <r>
          <rPr>
            <sz val="8"/>
            <rFont val="Tahoma"/>
            <family val="2"/>
          </rPr>
          <t xml:space="preserve">
Equipe Ex Lafont : 520 000 (inserm) + 45 000 ( 4 mois 2 IGR) + 2 000 000 (equipement) - financé par conv ANR</t>
        </r>
      </text>
    </comment>
    <comment ref="B18" authorId="0">
      <text>
        <r>
          <rPr>
            <b/>
            <sz val="8"/>
            <rFont val="Tahoma"/>
            <family val="2"/>
          </rPr>
          <t>Elsa Claron:</t>
        </r>
        <r>
          <rPr>
            <sz val="8"/>
            <rFont val="Tahoma"/>
            <family val="2"/>
          </rPr>
          <t xml:space="preserve">
Europress + Visual catalog + Science direct + Valorisation patrimoine régional hors Polib</t>
        </r>
      </text>
    </comment>
    <comment ref="P23" authorId="0">
      <text>
        <r>
          <rPr>
            <b/>
            <sz val="8"/>
            <rFont val="Tahoma"/>
            <family val="2"/>
          </rPr>
          <t>Elsa Claron:</t>
        </r>
        <r>
          <rPr>
            <sz val="8"/>
            <rFont val="Tahoma"/>
            <family val="2"/>
          </rPr>
          <t xml:space="preserve">
785 300 : 40 000+111 000+95 000+91 500+140 000+50 000+100 000+20 000+120 000+7800 +5 000+5 000 + 95 000 (région carbonne)</t>
        </r>
      </text>
    </comment>
    <comment ref="Q23" authorId="0">
      <text>
        <r>
          <rPr>
            <b/>
            <sz val="8"/>
            <rFont val="Tahoma"/>
            <family val="2"/>
          </rPr>
          <t>Elsa Claron:</t>
        </r>
        <r>
          <rPr>
            <sz val="8"/>
            <rFont val="Tahoma"/>
            <family val="2"/>
          </rPr>
          <t xml:space="preserve">
- 25 000 Lille 2 Inter U - 9 000 RER + 4 334 Carbone FP + 41 000 Réajustement Collège Doctoral + 31 250 (bourse de thèse - Geraldine ligne 51)
</t>
        </r>
      </text>
    </comment>
    <comment ref="G25" authorId="0">
      <text>
        <r>
          <rPr>
            <b/>
            <sz val="8"/>
            <rFont val="Tahoma"/>
            <family val="2"/>
          </rPr>
          <t>Elsa Claron:</t>
        </r>
        <r>
          <rPr>
            <sz val="8"/>
            <rFont val="Tahoma"/>
            <family val="2"/>
          </rPr>
          <t xml:space="preserve">
Prime 50% - CO</t>
        </r>
      </text>
    </comment>
    <comment ref="G26" authorId="0">
      <text>
        <r>
          <rPr>
            <b/>
            <sz val="8"/>
            <rFont val="Tahoma"/>
            <family val="2"/>
          </rPr>
          <t>Elsa Claron:</t>
        </r>
        <r>
          <rPr>
            <sz val="8"/>
            <rFont val="Tahoma"/>
            <family val="2"/>
          </rPr>
          <t xml:space="preserve">
+ 50% VD</t>
        </r>
      </text>
    </comment>
    <comment ref="G27" authorId="0">
      <text>
        <r>
          <rPr>
            <b/>
            <sz val="8"/>
            <rFont val="Tahoma"/>
            <family val="2"/>
          </rPr>
          <t>Elsa Claron:</t>
        </r>
        <r>
          <rPr>
            <sz val="8"/>
            <rFont val="Tahoma"/>
            <family val="2"/>
          </rPr>
          <t xml:space="preserve">
+ 50% VD</t>
        </r>
      </text>
    </comment>
    <comment ref="P29" authorId="0">
      <text>
        <r>
          <rPr>
            <b/>
            <sz val="8"/>
            <rFont val="Tahoma"/>
            <family val="2"/>
          </rPr>
          <t>Elsa Claron:</t>
        </r>
        <r>
          <rPr>
            <sz val="8"/>
            <rFont val="Tahoma"/>
            <family val="2"/>
          </rPr>
          <t xml:space="preserve">
région</t>
        </r>
      </text>
    </comment>
    <comment ref="D30" authorId="0">
      <text>
        <r>
          <rPr>
            <b/>
            <sz val="8"/>
            <rFont val="Tahoma"/>
            <family val="2"/>
          </rPr>
          <t>Elsa Claron:</t>
        </r>
        <r>
          <rPr>
            <sz val="8"/>
            <rFont val="Tahoma"/>
            <family val="2"/>
          </rPr>
          <t xml:space="preserve">
Formation APEC</t>
        </r>
      </text>
    </comment>
    <comment ref="P30" authorId="0">
      <text>
        <r>
          <rPr>
            <b/>
            <sz val="8"/>
            <rFont val="Tahoma"/>
            <family val="2"/>
          </rPr>
          <t>Elsa Claron:</t>
        </r>
        <r>
          <rPr>
            <sz val="8"/>
            <rFont val="Tahoma"/>
            <family val="2"/>
          </rPr>
          <t xml:space="preserve">
région</t>
        </r>
      </text>
    </comment>
    <comment ref="D31" authorId="0">
      <text>
        <r>
          <rPr>
            <b/>
            <sz val="8"/>
            <rFont val="Tahoma"/>
            <family val="2"/>
          </rPr>
          <t>Elsa Claron:</t>
        </r>
        <r>
          <rPr>
            <sz val="8"/>
            <rFont val="Tahoma"/>
            <family val="2"/>
          </rPr>
          <t xml:space="preserve">
 + 5 000 Campus France</t>
        </r>
      </text>
    </comment>
    <comment ref="G34" authorId="0">
      <text>
        <r>
          <rPr>
            <b/>
            <sz val="8"/>
            <rFont val="Tahoma"/>
            <family val="2"/>
          </rPr>
          <t>Elsa Claron:</t>
        </r>
        <r>
          <rPr>
            <sz val="8"/>
            <rFont val="Tahoma"/>
            <family val="2"/>
          </rPr>
          <t xml:space="preserve">
Florence Bouvet</t>
        </r>
      </text>
    </comment>
    <comment ref="P34" authorId="0">
      <text>
        <r>
          <rPr>
            <b/>
            <sz val="8"/>
            <rFont val="Tahoma"/>
            <family val="2"/>
          </rPr>
          <t>Elsa Claron:</t>
        </r>
        <r>
          <rPr>
            <sz val="8"/>
            <rFont val="Tahoma"/>
            <family val="2"/>
          </rPr>
          <t xml:space="preserve">
Campus France</t>
        </r>
      </text>
    </comment>
    <comment ref="E39" authorId="0">
      <text>
        <r>
          <rPr>
            <b/>
            <sz val="8"/>
            <rFont val="Tahoma"/>
            <family val="2"/>
          </rPr>
          <t>Elsa Claron:</t>
        </r>
        <r>
          <rPr>
            <sz val="8"/>
            <rFont val="Tahoma"/>
            <family val="2"/>
          </rPr>
          <t xml:space="preserve">
Cifre</t>
        </r>
      </text>
    </comment>
    <comment ref="F39" authorId="0">
      <text>
        <r>
          <rPr>
            <b/>
            <sz val="8"/>
            <rFont val="Tahoma"/>
            <family val="2"/>
          </rPr>
          <t>Elsa Claron:</t>
        </r>
        <r>
          <rPr>
            <sz val="8"/>
            <rFont val="Tahoma"/>
            <family val="2"/>
          </rPr>
          <t xml:space="preserve">
ED</t>
        </r>
      </text>
    </comment>
    <comment ref="G39" authorId="0">
      <text>
        <r>
          <rPr>
            <b/>
            <sz val="8"/>
            <rFont val="Tahoma"/>
            <family val="2"/>
          </rPr>
          <t>Elsa Claron:</t>
        </r>
        <r>
          <rPr>
            <sz val="8"/>
            <rFont val="Tahoma"/>
            <family val="2"/>
          </rPr>
          <t xml:space="preserve">
+ IGR  en plus ED</t>
        </r>
      </text>
    </comment>
    <comment ref="D40" authorId="0">
      <text>
        <r>
          <rPr>
            <b/>
            <sz val="8"/>
            <rFont val="Tahoma"/>
            <family val="2"/>
          </rPr>
          <t>Elsa Claron:</t>
        </r>
        <r>
          <rPr>
            <sz val="8"/>
            <rFont val="Tahoma"/>
            <family val="2"/>
          </rPr>
          <t xml:space="preserve">
CG 2010 + 2011</t>
        </r>
      </text>
    </comment>
    <comment ref="E40" authorId="0">
      <text>
        <r>
          <rPr>
            <b/>
            <sz val="8"/>
            <rFont val="Tahoma"/>
            <family val="2"/>
          </rPr>
          <t>Elsa Claron:</t>
        </r>
        <r>
          <rPr>
            <sz val="8"/>
            <rFont val="Tahoma"/>
            <family val="2"/>
          </rPr>
          <t xml:space="preserve">
CDC</t>
        </r>
      </text>
    </comment>
    <comment ref="F40" authorId="0">
      <text>
        <r>
          <rPr>
            <b/>
            <sz val="8"/>
            <rFont val="Tahoma"/>
            <family val="2"/>
          </rPr>
          <t>Elsa Claron:</t>
        </r>
        <r>
          <rPr>
            <sz val="8"/>
            <rFont val="Tahoma"/>
            <family val="2"/>
          </rPr>
          <t xml:space="preserve">
EP + SO</t>
        </r>
      </text>
    </comment>
    <comment ref="F41" authorId="0">
      <text>
        <r>
          <rPr>
            <b/>
            <sz val="8"/>
            <rFont val="Tahoma"/>
            <family val="2"/>
          </rPr>
          <t>Elsa Claron:</t>
        </r>
        <r>
          <rPr>
            <sz val="8"/>
            <rFont val="Tahoma"/>
            <family val="2"/>
          </rPr>
          <t xml:space="preserve">
25% claire Delettré</t>
        </r>
      </text>
    </comment>
    <comment ref="F43" authorId="0">
      <text>
        <r>
          <rPr>
            <b/>
            <sz val="8"/>
            <rFont val="Tahoma"/>
            <family val="2"/>
          </rPr>
          <t>Elsa Claron:</t>
        </r>
        <r>
          <rPr>
            <sz val="8"/>
            <rFont val="Tahoma"/>
            <family val="2"/>
          </rPr>
          <t xml:space="preserve">
75% Claire Delettré</t>
        </r>
      </text>
    </comment>
    <comment ref="P44" authorId="0">
      <text>
        <r>
          <rPr>
            <b/>
            <sz val="8"/>
            <rFont val="Tahoma"/>
            <family val="2"/>
          </rPr>
          <t>Elsa Claron:</t>
        </r>
        <r>
          <rPr>
            <sz val="8"/>
            <rFont val="Tahoma"/>
            <family val="2"/>
          </rPr>
          <t xml:space="preserve">
Région</t>
        </r>
      </text>
    </comment>
    <comment ref="E45" authorId="0">
      <text>
        <r>
          <rPr>
            <b/>
            <sz val="8"/>
            <rFont val="Tahoma"/>
            <family val="2"/>
          </rPr>
          <t>Elsa Claron:</t>
        </r>
        <r>
          <rPr>
            <sz val="8"/>
            <rFont val="Tahoma"/>
            <family val="2"/>
          </rPr>
          <t xml:space="preserve">
- 55 000 (réajustement carbonne) + 31 250 (Bourse de thèse Lille 1- Geraldine Bougnon + 392 500 ( 2e versement région)</t>
        </r>
      </text>
    </comment>
    <comment ref="H45" authorId="0">
      <text>
        <r>
          <rPr>
            <b/>
            <sz val="8"/>
            <rFont val="Tahoma"/>
            <family val="2"/>
          </rPr>
          <t>Elsa Claron:</t>
        </r>
        <r>
          <rPr>
            <sz val="8"/>
            <rFont val="Tahoma"/>
            <family val="2"/>
          </rPr>
          <t xml:space="preserve">
2e versement région</t>
        </r>
      </text>
    </comment>
    <comment ref="J45" authorId="0">
      <text>
        <r>
          <rPr>
            <b/>
            <sz val="8"/>
            <rFont val="Tahoma"/>
            <family val="2"/>
          </rPr>
          <t>Elsa Claron:</t>
        </r>
        <r>
          <rPr>
            <sz val="8"/>
            <rFont val="Tahoma"/>
            <family val="2"/>
          </rPr>
          <t xml:space="preserve">
Sup'invest</t>
        </r>
      </text>
    </comment>
    <comment ref="D46" authorId="0">
      <text>
        <r>
          <rPr>
            <b/>
            <sz val="8"/>
            <rFont val="Tahoma"/>
            <family val="2"/>
          </rPr>
          <t>Elsa Claron:</t>
        </r>
        <r>
          <rPr>
            <sz val="8"/>
            <rFont val="Tahoma"/>
            <family val="2"/>
          </rPr>
          <t xml:space="preserve">
avec ammortissement + 150 000 Loyer</t>
        </r>
      </text>
    </comment>
    <comment ref="F48" authorId="0">
      <text>
        <r>
          <rPr>
            <b/>
            <sz val="8"/>
            <rFont val="Tahoma"/>
            <family val="2"/>
          </rPr>
          <t>Elsa Claron:</t>
        </r>
        <r>
          <rPr>
            <sz val="8"/>
            <rFont val="Tahoma"/>
            <family val="2"/>
          </rPr>
          <t xml:space="preserve">
HG+SD+VD+AC</t>
        </r>
      </text>
    </comment>
    <comment ref="G48" authorId="0">
      <text>
        <r>
          <rPr>
            <b/>
            <sz val="8"/>
            <rFont val="Tahoma"/>
            <family val="2"/>
          </rPr>
          <t>Elsa Claron:</t>
        </r>
        <r>
          <rPr>
            <sz val="8"/>
            <rFont val="Tahoma"/>
            <family val="2"/>
          </rPr>
          <t xml:space="preserve">
- 26 000 VD</t>
        </r>
      </text>
    </comment>
    <comment ref="F51" authorId="0">
      <text>
        <r>
          <rPr>
            <b/>
            <sz val="8"/>
            <rFont val="Tahoma"/>
            <family val="2"/>
          </rPr>
          <t>Elsa Claron:</t>
        </r>
        <r>
          <rPr>
            <sz val="8"/>
            <rFont val="Tahoma"/>
            <family val="2"/>
          </rPr>
          <t xml:space="preserve">
10/12 salaire IGR 2nd</t>
        </r>
      </text>
    </comment>
    <comment ref="G51" authorId="0">
      <text>
        <r>
          <rPr>
            <b/>
            <sz val="8"/>
            <rFont val="Tahoma"/>
            <family val="2"/>
          </rPr>
          <t>Elsa Claron:</t>
        </r>
        <r>
          <rPr>
            <sz val="8"/>
            <rFont val="Tahoma"/>
            <family val="2"/>
          </rPr>
          <t xml:space="preserve">
5 750 payé en 2010</t>
        </r>
      </text>
    </comment>
    <comment ref="H51" authorId="0">
      <text>
        <r>
          <rPr>
            <b/>
            <sz val="8"/>
            <rFont val="Tahoma"/>
            <family val="2"/>
          </rPr>
          <t>Elsa Claron:</t>
        </r>
        <r>
          <rPr>
            <sz val="8"/>
            <rFont val="Tahoma"/>
            <family val="2"/>
          </rPr>
          <t xml:space="preserve">
réajustement personnel patrimoine</t>
        </r>
      </text>
    </comment>
    <comment ref="P52" authorId="0">
      <text>
        <r>
          <rPr>
            <b/>
            <sz val="8"/>
            <rFont val="Tahoma"/>
            <family val="2"/>
          </rPr>
          <t>Elsa Claron:</t>
        </r>
        <r>
          <rPr>
            <sz val="8"/>
            <rFont val="Tahoma"/>
            <family val="2"/>
          </rPr>
          <t xml:space="preserve">
vient de la région pour le carbonne</t>
        </r>
      </text>
    </comment>
    <comment ref="O62" authorId="0">
      <text>
        <r>
          <rPr>
            <b/>
            <sz val="8"/>
            <rFont val="Tahoma"/>
            <family val="2"/>
          </rPr>
          <t>Elsa Claron:</t>
        </r>
        <r>
          <rPr>
            <sz val="8"/>
            <rFont val="Tahoma"/>
            <family val="2"/>
          </rPr>
          <t xml:space="preserve">
38 000 droit d'inscription FLE + 390 000 cotisation</t>
        </r>
      </text>
    </comment>
  </commentList>
</comments>
</file>

<file path=xl/comments4.xml><?xml version="1.0" encoding="utf-8"?>
<comments xmlns="http://schemas.openxmlformats.org/spreadsheetml/2006/main">
  <authors>
    <author>Elsa Claron</author>
  </authors>
  <commentList>
    <comment ref="K15" authorId="0">
      <text>
        <r>
          <rPr>
            <b/>
            <sz val="8"/>
            <rFont val="Tahoma"/>
            <family val="2"/>
          </rPr>
          <t>Elsa Claron:</t>
        </r>
        <r>
          <rPr>
            <sz val="8"/>
            <rFont val="Tahoma"/>
            <family val="2"/>
          </rPr>
          <t xml:space="preserve">
- 41 000 (CD) - 29 667 (Carbone Etab)</t>
        </r>
      </text>
    </comment>
    <comment ref="J18" authorId="0">
      <text>
        <r>
          <rPr>
            <b/>
            <sz val="8"/>
            <rFont val="Tahoma"/>
            <family val="2"/>
          </rPr>
          <t>Elsa Claron:</t>
        </r>
        <r>
          <rPr>
            <sz val="8"/>
            <rFont val="Tahoma"/>
            <family val="2"/>
          </rPr>
          <t xml:space="preserve">
etat + interreg</t>
        </r>
      </text>
    </comment>
    <comment ref="K18" authorId="0">
      <text>
        <r>
          <rPr>
            <b/>
            <sz val="8"/>
            <rFont val="Tahoma"/>
            <family val="2"/>
          </rPr>
          <t>ANR</t>
        </r>
      </text>
    </comment>
    <comment ref="K19" authorId="0">
      <text>
        <r>
          <rPr>
            <b/>
            <sz val="8"/>
            <rFont val="Tahoma"/>
            <family val="2"/>
          </rPr>
          <t>Elsa Claron:</t>
        </r>
        <r>
          <rPr>
            <sz val="8"/>
            <rFont val="Tahoma"/>
            <family val="2"/>
          </rPr>
          <t xml:space="preserve">
- 29 667 Carbone CR</t>
        </r>
      </text>
    </comment>
    <comment ref="C22" authorId="0">
      <text>
        <r>
          <rPr>
            <b/>
            <sz val="8"/>
            <rFont val="Tahoma"/>
            <family val="2"/>
          </rPr>
          <t>Elsa Claron:</t>
        </r>
        <r>
          <rPr>
            <sz val="8"/>
            <rFont val="Tahoma"/>
            <family val="2"/>
          </rPr>
          <t xml:space="preserve">
vehicule pres + copieur pres + copieur cgl</t>
        </r>
      </text>
    </comment>
    <comment ref="K22" authorId="0">
      <text>
        <r>
          <rPr>
            <b/>
            <sz val="8"/>
            <rFont val="Tahoma"/>
            <family val="2"/>
          </rPr>
          <t>Elsa Claron:</t>
        </r>
        <r>
          <rPr>
            <sz val="8"/>
            <rFont val="Tahoma"/>
            <family val="2"/>
          </rPr>
          <t xml:space="preserve">
CDC ME</t>
        </r>
      </text>
    </comment>
    <comment ref="K23" authorId="0">
      <text>
        <r>
          <rPr>
            <b/>
            <sz val="8"/>
            <rFont val="Tahoma"/>
            <family val="2"/>
          </rPr>
          <t>Elsa Claron:</t>
        </r>
        <r>
          <rPr>
            <sz val="8"/>
            <rFont val="Tahoma"/>
            <family val="2"/>
          </rPr>
          <t xml:space="preserve">
 Lille 2 inter U</t>
        </r>
      </text>
    </comment>
    <comment ref="K24" authorId="0">
      <text>
        <r>
          <rPr>
            <b/>
            <sz val="8"/>
            <rFont val="Tahoma"/>
            <family val="2"/>
          </rPr>
          <t>Elsa Claron:</t>
        </r>
        <r>
          <rPr>
            <sz val="8"/>
            <rFont val="Tahoma"/>
            <family val="2"/>
          </rPr>
          <t xml:space="preserve">
RER</t>
        </r>
      </text>
    </comment>
    <comment ref="C25" authorId="0">
      <text>
        <r>
          <rPr>
            <b/>
            <sz val="8"/>
            <rFont val="Tahoma"/>
            <family val="2"/>
          </rPr>
          <t>Elsa Claron:</t>
        </r>
        <r>
          <rPr>
            <sz val="8"/>
            <rFont val="Tahoma"/>
            <family val="2"/>
          </rPr>
          <t xml:space="preserve">
pres + cgl</t>
        </r>
      </text>
    </comment>
    <comment ref="C28" authorId="0">
      <text>
        <r>
          <rPr>
            <b/>
            <sz val="8"/>
            <rFont val="Tahoma"/>
            <family val="2"/>
          </rPr>
          <t>Elsa Claron:</t>
        </r>
        <r>
          <rPr>
            <sz val="8"/>
            <rFont val="Tahoma"/>
            <family val="2"/>
          </rPr>
          <t xml:space="preserve">
marché CGL + pres - 43 300 cifre ores</t>
        </r>
      </text>
    </comment>
    <comment ref="E28" authorId="0">
      <text>
        <r>
          <rPr>
            <b/>
            <sz val="8"/>
            <rFont val="Tahoma"/>
            <family val="2"/>
          </rPr>
          <t>Elsa Claron:</t>
        </r>
        <r>
          <rPr>
            <sz val="8"/>
            <rFont val="Tahoma"/>
            <family val="2"/>
          </rPr>
          <t xml:space="preserve">
cifre ores</t>
        </r>
      </text>
    </comment>
    <comment ref="D29" authorId="0">
      <text>
        <r>
          <rPr>
            <b/>
            <sz val="8"/>
            <rFont val="Tahoma"/>
            <family val="2"/>
          </rPr>
          <t>Elsa Claron:</t>
        </r>
        <r>
          <rPr>
            <sz val="8"/>
            <rFont val="Tahoma"/>
            <family val="2"/>
          </rPr>
          <t xml:space="preserve">
ressource doc</t>
        </r>
      </text>
    </comment>
    <comment ref="C33" authorId="0">
      <text>
        <r>
          <rPr>
            <b/>
            <sz val="8"/>
            <rFont val="Tahoma"/>
            <family val="2"/>
          </rPr>
          <t>Elsa Claron:</t>
        </r>
        <r>
          <rPr>
            <sz val="8"/>
            <rFont val="Tahoma"/>
            <family val="2"/>
          </rPr>
          <t xml:space="preserve">
3 mois JLP + EN + 5000 Summerschool</t>
        </r>
      </text>
    </comment>
    <comment ref="D33" authorId="0">
      <text>
        <r>
          <rPr>
            <b/>
            <sz val="8"/>
            <rFont val="Tahoma"/>
            <family val="2"/>
          </rPr>
          <t>Elsa Claron:</t>
        </r>
        <r>
          <rPr>
            <sz val="8"/>
            <rFont val="Tahoma"/>
            <family val="2"/>
          </rPr>
          <t xml:space="preserve">
regul voir tableau personnel</t>
        </r>
      </text>
    </comment>
    <comment ref="C35" authorId="0">
      <text>
        <r>
          <rPr>
            <b/>
            <sz val="8"/>
            <rFont val="Tahoma"/>
            <family val="2"/>
          </rPr>
          <t>Elsa Claron:</t>
        </r>
        <r>
          <rPr>
            <sz val="8"/>
            <rFont val="Tahoma"/>
            <family val="2"/>
          </rPr>
          <t xml:space="preserve">
130 000/3</t>
        </r>
      </text>
    </comment>
    <comment ref="C36" authorId="0">
      <text>
        <r>
          <rPr>
            <b/>
            <sz val="8"/>
            <rFont val="Tahoma"/>
            <family val="2"/>
          </rPr>
          <t>Elsa Claron:</t>
        </r>
        <r>
          <rPr>
            <sz val="8"/>
            <rFont val="Tahoma"/>
            <family val="2"/>
          </rPr>
          <t xml:space="preserve">
100 000/3</t>
        </r>
      </text>
    </comment>
    <comment ref="C37" authorId="0">
      <text>
        <r>
          <rPr>
            <b/>
            <sz val="8"/>
            <rFont val="Tahoma"/>
            <family val="2"/>
          </rPr>
          <t>Elsa Claron:</t>
        </r>
        <r>
          <rPr>
            <sz val="8"/>
            <rFont val="Tahoma"/>
            <family val="2"/>
          </rPr>
          <t xml:space="preserve">
100 000/3</t>
        </r>
      </text>
    </comment>
    <comment ref="D42" authorId="0">
      <text>
        <r>
          <rPr>
            <b/>
            <sz val="8"/>
            <rFont val="Tahoma"/>
            <family val="2"/>
          </rPr>
          <t>Elsa Claron:</t>
        </r>
        <r>
          <rPr>
            <sz val="8"/>
            <rFont val="Tahoma"/>
            <family val="2"/>
          </rPr>
          <t xml:space="preserve">
bilan carbonne</t>
        </r>
      </text>
    </comment>
    <comment ref="E42" authorId="0">
      <text>
        <r>
          <rPr>
            <b/>
            <sz val="8"/>
            <rFont val="Tahoma"/>
            <family val="2"/>
          </rPr>
          <t>Elsa Claron:</t>
        </r>
        <r>
          <rPr>
            <sz val="8"/>
            <rFont val="Tahoma"/>
            <family val="2"/>
          </rPr>
          <t xml:space="preserve">
ME - gouv + CCA (création artistique) + 392 500 (2é versement Région)</t>
        </r>
      </text>
    </comment>
    <comment ref="E49" authorId="0">
      <text>
        <r>
          <rPr>
            <b/>
            <sz val="8"/>
            <rFont val="Tahoma"/>
            <family val="2"/>
          </rPr>
          <t>Elsa Claron:</t>
        </r>
        <r>
          <rPr>
            <sz val="8"/>
            <rFont val="Tahoma"/>
            <family val="2"/>
          </rPr>
          <t xml:space="preserve">
45 000 equipex lafont + 8 100 complement CCA</t>
        </r>
      </text>
    </comment>
    <comment ref="C54" authorId="0">
      <text>
        <r>
          <rPr>
            <b/>
            <sz val="8"/>
            <rFont val="Tahoma"/>
            <family val="2"/>
          </rPr>
          <t>Elsa Claron:</t>
        </r>
        <r>
          <rPr>
            <sz val="8"/>
            <rFont val="Tahoma"/>
            <family val="2"/>
          </rPr>
          <t xml:space="preserve">
2 000 FLE + 5 000 DCE</t>
        </r>
      </text>
    </comment>
    <comment ref="C57" authorId="0">
      <text>
        <r>
          <rPr>
            <b/>
            <sz val="8"/>
            <rFont val="Tahoma"/>
            <family val="2"/>
          </rPr>
          <t>Elsa Claron:</t>
        </r>
        <r>
          <rPr>
            <sz val="8"/>
            <rFont val="Tahoma"/>
            <family val="2"/>
          </rPr>
          <t xml:space="preserve">
7 000/3</t>
        </r>
      </text>
    </comment>
    <comment ref="C59" authorId="0">
      <text>
        <r>
          <rPr>
            <b/>
            <sz val="8"/>
            <rFont val="Tahoma"/>
            <family val="2"/>
          </rPr>
          <t>Elsa Claron:</t>
        </r>
        <r>
          <rPr>
            <sz val="8"/>
            <rFont val="Tahoma"/>
            <family val="2"/>
          </rPr>
          <t xml:space="preserve">
a sauté ( 5000)</t>
        </r>
      </text>
    </comment>
    <comment ref="C61" authorId="0">
      <text>
        <r>
          <rPr>
            <b/>
            <sz val="8"/>
            <rFont val="Tahoma"/>
            <family val="2"/>
          </rPr>
          <t>Elsa Claron:</t>
        </r>
        <r>
          <rPr>
            <sz val="8"/>
            <rFont val="Tahoma"/>
            <family val="2"/>
          </rPr>
          <t xml:space="preserve">
appel à projet DAI + prix ME + pres</t>
        </r>
      </text>
    </comment>
    <comment ref="E61" authorId="0">
      <text>
        <r>
          <rPr>
            <b/>
            <sz val="8"/>
            <rFont val="Tahoma"/>
            <family val="2"/>
          </rPr>
          <t>Elsa Claron:</t>
        </r>
        <r>
          <rPr>
            <sz val="8"/>
            <rFont val="Tahoma"/>
            <family val="2"/>
          </rPr>
          <t xml:space="preserve">
inserm - equipex Lafont</t>
        </r>
      </text>
    </comment>
    <comment ref="D64" authorId="0">
      <text>
        <r>
          <rPr>
            <b/>
            <sz val="8"/>
            <rFont val="Tahoma"/>
            <family val="2"/>
          </rPr>
          <t>Elsa Claron:</t>
        </r>
        <r>
          <rPr>
            <sz val="8"/>
            <rFont val="Tahoma"/>
            <family val="2"/>
          </rPr>
          <t xml:space="preserve">
solde structurant + SHS valo</t>
        </r>
      </text>
    </comment>
    <comment ref="C65" authorId="0">
      <text>
        <r>
          <rPr>
            <b/>
            <sz val="8"/>
            <rFont val="Tahoma"/>
            <family val="2"/>
          </rPr>
          <t>Elsa Claron:</t>
        </r>
        <r>
          <rPr>
            <sz val="8"/>
            <rFont val="Tahoma"/>
            <family val="2"/>
          </rPr>
          <t xml:space="preserve">
rem frais d'inscription</t>
        </r>
      </text>
    </comment>
  </commentList>
</comments>
</file>

<file path=xl/comments5.xml><?xml version="1.0" encoding="utf-8"?>
<comments xmlns="http://schemas.openxmlformats.org/spreadsheetml/2006/main">
  <authors>
    <author>Elsa Claron</author>
  </authors>
  <commentList>
    <comment ref="C17" authorId="0">
      <text>
        <r>
          <rPr>
            <b/>
            <sz val="8"/>
            <rFont val="Tahoma"/>
            <family val="2"/>
          </rPr>
          <t>Elsa Claron:</t>
        </r>
        <r>
          <rPr>
            <sz val="8"/>
            <rFont val="Tahoma"/>
            <family val="2"/>
          </rPr>
          <t xml:space="preserve">
23400 solde salaire ED sur 113</t>
        </r>
      </text>
    </comment>
  </commentList>
</comments>
</file>

<file path=xl/sharedStrings.xml><?xml version="1.0" encoding="utf-8"?>
<sst xmlns="http://schemas.openxmlformats.org/spreadsheetml/2006/main" count="232" uniqueCount="200">
  <si>
    <t>TOTAL</t>
  </si>
  <si>
    <t>DEPENSES</t>
  </si>
  <si>
    <t>RECETTES</t>
  </si>
  <si>
    <t>Campus Grand Lille</t>
  </si>
  <si>
    <t xml:space="preserve">Total </t>
  </si>
  <si>
    <t xml:space="preserve">1- Recherche </t>
  </si>
  <si>
    <t xml:space="preserve">1-1 Gros équipements </t>
  </si>
  <si>
    <t xml:space="preserve">1-2 Valorisation </t>
  </si>
  <si>
    <t xml:space="preserve">1-3 Documentation </t>
  </si>
  <si>
    <t xml:space="preserve">2- Accueil chercheurs </t>
  </si>
  <si>
    <t xml:space="preserve">3- Formation </t>
  </si>
  <si>
    <t xml:space="preserve">3-1 Offre de formation </t>
  </si>
  <si>
    <t xml:space="preserve">3-2 Insertion </t>
  </si>
  <si>
    <t xml:space="preserve">4- Outils et plates formes transversales </t>
  </si>
  <si>
    <t xml:space="preserve">4-1 O.R.E.S </t>
  </si>
  <si>
    <t xml:space="preserve">5-1 Gouvernance </t>
  </si>
  <si>
    <t xml:space="preserve">5-2 Fonctionnement service </t>
  </si>
  <si>
    <t>5-3 Investissements</t>
  </si>
  <si>
    <t xml:space="preserve">5-4 Personnel </t>
  </si>
  <si>
    <t>6- Soutien au développement économique régional</t>
  </si>
  <si>
    <t>7- Autres opérations</t>
  </si>
  <si>
    <t>7-1 Culture et patrimoine scientifiques</t>
  </si>
  <si>
    <t>8- Campus Grand Lille</t>
  </si>
  <si>
    <t>2-2 Centre de mobilité</t>
  </si>
  <si>
    <t>2-3 FLE</t>
  </si>
  <si>
    <t xml:space="preserve">3-3 Ouverture internationale </t>
  </si>
  <si>
    <t xml:space="preserve">3-5 Projet PEC </t>
  </si>
  <si>
    <t>3-7 Fonctionnement commission</t>
  </si>
  <si>
    <t xml:space="preserve">7-2 Communication </t>
  </si>
  <si>
    <t>Bibliothèque</t>
  </si>
  <si>
    <t>Diffusion des savoirs</t>
  </si>
  <si>
    <t>Présentation LOLF</t>
  </si>
  <si>
    <t>101 à 103</t>
  </si>
  <si>
    <t>106 à 112</t>
  </si>
  <si>
    <t>Emplois titulaires Etat</t>
  </si>
  <si>
    <t>Etat</t>
  </si>
  <si>
    <t xml:space="preserve">3-4 Innovation pédagogique </t>
  </si>
  <si>
    <t>Présentation par compte</t>
  </si>
  <si>
    <t>Achat et variation de stock</t>
  </si>
  <si>
    <t>Services Extéieurs</t>
  </si>
  <si>
    <t>Autres Services Extérieurs</t>
  </si>
  <si>
    <t>Impôts taxes et versements assimilés</t>
  </si>
  <si>
    <t>Charges de personnel</t>
  </si>
  <si>
    <t>Autres charges de gestion courante</t>
  </si>
  <si>
    <t>Charges exceptionnelles</t>
  </si>
  <si>
    <t>Préstation de service</t>
  </si>
  <si>
    <t>Total</t>
  </si>
  <si>
    <t>Dotation aux ammortissements</t>
  </si>
  <si>
    <t>Immobilisations incorporelles</t>
  </si>
  <si>
    <t>Immobilisations corporelles</t>
  </si>
  <si>
    <t>Fnal</t>
  </si>
  <si>
    <t>Urssaf</t>
  </si>
  <si>
    <t>Ircantec</t>
  </si>
  <si>
    <t>Assedic</t>
  </si>
  <si>
    <t>Logiciel</t>
  </si>
  <si>
    <t>Installation Mat et Outillage</t>
  </si>
  <si>
    <t>Matériel informatique</t>
  </si>
  <si>
    <t>Mobilier</t>
  </si>
  <si>
    <t>631 1</t>
  </si>
  <si>
    <t>633 2</t>
  </si>
  <si>
    <t>1-4 Projets structurants</t>
  </si>
  <si>
    <t>1-7 Fonctionnement commission</t>
  </si>
  <si>
    <t>Immobilier (8)</t>
  </si>
  <si>
    <t>Présentation par nature</t>
  </si>
  <si>
    <t>633 1</t>
  </si>
  <si>
    <t>Collectivités</t>
  </si>
  <si>
    <t>Formation (31-37) + (41-45)</t>
  </si>
  <si>
    <t>BUDGET 2011</t>
  </si>
  <si>
    <t>fonctionnement</t>
  </si>
  <si>
    <t>personnel</t>
  </si>
  <si>
    <t>investissement</t>
  </si>
  <si>
    <t>1-5 UDS</t>
  </si>
  <si>
    <t>1-6 RER</t>
  </si>
  <si>
    <t>3-6 Summerschool</t>
  </si>
  <si>
    <t>4-3 Collège doctoral-Département Carrière Emploi</t>
  </si>
  <si>
    <t>4-4 Collège doctoral-Département Actions internationales</t>
  </si>
  <si>
    <t>4-5 Plateforme régionale IP LM</t>
  </si>
  <si>
    <t xml:space="preserve">5- Administration générale </t>
  </si>
  <si>
    <t>Pilotage (51+52+53+54+72)</t>
  </si>
  <si>
    <t>Recherche (11-17) + (21-23) +(6) + (71)</t>
  </si>
  <si>
    <t>Section de fonctionnement</t>
  </si>
  <si>
    <t>achats</t>
  </si>
  <si>
    <t>vente de produits</t>
  </si>
  <si>
    <t>fluides</t>
  </si>
  <si>
    <t>Prestations</t>
  </si>
  <si>
    <t>petit matériel</t>
  </si>
  <si>
    <t>fournitures de bureau</t>
  </si>
  <si>
    <t>subventions</t>
  </si>
  <si>
    <t>piles</t>
  </si>
  <si>
    <t>services extérieurs</t>
  </si>
  <si>
    <t>Cotisation membres</t>
  </si>
  <si>
    <t>crédit bail mobilier</t>
  </si>
  <si>
    <t>crédit bail immobilier</t>
  </si>
  <si>
    <t>location</t>
  </si>
  <si>
    <t>charges locatives</t>
  </si>
  <si>
    <t>entretien et maintenance</t>
  </si>
  <si>
    <t>assurance</t>
  </si>
  <si>
    <t>étude et recherche</t>
  </si>
  <si>
    <t>documentation</t>
  </si>
  <si>
    <t>colloque</t>
  </si>
  <si>
    <t>autres services extérieurs</t>
  </si>
  <si>
    <t>mise à disposition personnels</t>
  </si>
  <si>
    <t>honoraires</t>
  </si>
  <si>
    <t>publicité, information</t>
  </si>
  <si>
    <t>frais de déplacement</t>
  </si>
  <si>
    <t>réception</t>
  </si>
  <si>
    <t>communication</t>
  </si>
  <si>
    <t>frais bancaires</t>
  </si>
  <si>
    <t>cotisations à payer</t>
  </si>
  <si>
    <t>contrat de nettoyage</t>
  </si>
  <si>
    <t>prestations de service</t>
  </si>
  <si>
    <t>impôts et taxes</t>
  </si>
  <si>
    <t>taxes sur salaires</t>
  </si>
  <si>
    <t>transport</t>
  </si>
  <si>
    <t>charges de personnel</t>
  </si>
  <si>
    <t>personnel contractuel</t>
  </si>
  <si>
    <t>vacation</t>
  </si>
  <si>
    <t>autres charges</t>
  </si>
  <si>
    <t>logiciel, marque</t>
  </si>
  <si>
    <t>indemnité de stage</t>
  </si>
  <si>
    <t>indemnité boursière</t>
  </si>
  <si>
    <t>autres charges de gestion</t>
  </si>
  <si>
    <t>subvention à caractère général</t>
  </si>
  <si>
    <t>Subvention à caractère exceptionnel</t>
  </si>
  <si>
    <t>charges exceptionnelles</t>
  </si>
  <si>
    <t>dotation aux amortissements</t>
  </si>
  <si>
    <t>Etat (DRRT + Ministère)</t>
  </si>
  <si>
    <t>Total Fonctionnement</t>
  </si>
  <si>
    <t>Section d'investissement</t>
  </si>
  <si>
    <t>total Investissement</t>
  </si>
  <si>
    <t xml:space="preserve">Dépenses </t>
  </si>
  <si>
    <t>Recettes</t>
  </si>
  <si>
    <t xml:space="preserve">4-2 Maison entrepreneuriat </t>
  </si>
  <si>
    <t>TOTAL RECETTES</t>
  </si>
  <si>
    <t>BP</t>
  </si>
  <si>
    <t>DBM 1</t>
  </si>
  <si>
    <t xml:space="preserve">BP </t>
  </si>
  <si>
    <t>Titre de participation</t>
  </si>
  <si>
    <t>montant</t>
  </si>
  <si>
    <t>Fonds propres :</t>
  </si>
  <si>
    <t>cotisations</t>
  </si>
  <si>
    <t>droits d'inscription</t>
  </si>
  <si>
    <t>établissements - écoles doctorales</t>
  </si>
  <si>
    <t>établissements - bilan carbone</t>
  </si>
  <si>
    <t>établissements - Sup'Invest</t>
  </si>
  <si>
    <t>Prélèvement sur fonds de roulement</t>
  </si>
  <si>
    <t>Subventions :</t>
  </si>
  <si>
    <t>CR NPDC</t>
  </si>
  <si>
    <t>biovalo</t>
  </si>
  <si>
    <t>accompagnement de la valorisation</t>
  </si>
  <si>
    <t>propriété intellectuelle</t>
  </si>
  <si>
    <t>unité de services</t>
  </si>
  <si>
    <t>maison de l'entrepreneuriat</t>
  </si>
  <si>
    <t>PEC</t>
  </si>
  <si>
    <t>ORES</t>
  </si>
  <si>
    <t>Collège doctoral</t>
  </si>
  <si>
    <t>Bilan carbone</t>
  </si>
  <si>
    <t>Conseil Général 59 :</t>
  </si>
  <si>
    <t>MESR DGRI</t>
  </si>
  <si>
    <t>Cap Valo</t>
  </si>
  <si>
    <t>MESR (DRRT)</t>
  </si>
  <si>
    <t>culture et patrimoine scientifiques</t>
  </si>
  <si>
    <t>Lille Nord de France Valo</t>
  </si>
  <si>
    <t>aide à la maturation</t>
  </si>
  <si>
    <t>Association Bernard Grégory</t>
  </si>
  <si>
    <t>Campus France</t>
  </si>
  <si>
    <t>Participations et créances rattachées</t>
  </si>
  <si>
    <t>2-1 Maison Internationale des Chercheurs de Lille</t>
  </si>
  <si>
    <t>LMCU</t>
  </si>
  <si>
    <t>Interreg</t>
  </si>
  <si>
    <t>produits financiers</t>
  </si>
  <si>
    <t>produits exceptionnels</t>
  </si>
  <si>
    <t>autres produits de gestion</t>
  </si>
  <si>
    <t>TOTAL DEPENSES</t>
  </si>
  <si>
    <t>Autres produits de gestion</t>
  </si>
  <si>
    <t>Produits financiers</t>
  </si>
  <si>
    <t>Produits exceptionnels</t>
  </si>
  <si>
    <t>Prél FDR PRES</t>
  </si>
  <si>
    <t>Prél FDR CGL</t>
  </si>
  <si>
    <t>BUDGET 2011 : DECISION BUDGETAIRE MODIFICATIVE N°2</t>
  </si>
  <si>
    <t>DBM 2</t>
  </si>
  <si>
    <t>DMB 2</t>
  </si>
  <si>
    <t>Prélèvement sur fonds de roulement PUEL - Cifre</t>
  </si>
  <si>
    <r>
      <t>Lille 2</t>
    </r>
    <r>
      <rPr>
        <sz val="10"/>
        <color indexed="10"/>
        <rFont val="Arial"/>
        <family val="2"/>
      </rPr>
      <t xml:space="preserve"> (inter U)</t>
    </r>
  </si>
  <si>
    <r>
      <t xml:space="preserve">RER </t>
    </r>
    <r>
      <rPr>
        <sz val="10"/>
        <color indexed="10"/>
        <rFont val="Arial"/>
        <family val="2"/>
      </rPr>
      <t>(UTC + CNRS + UPJV)</t>
    </r>
  </si>
  <si>
    <t>Total DBM 2</t>
  </si>
  <si>
    <t>Caisse de Dépots et Consignations (PEE)</t>
  </si>
  <si>
    <t>DECISION BUDGETAIRE MODIFICATIVE N°2</t>
  </si>
  <si>
    <t>Prél FDR / PUEL</t>
  </si>
  <si>
    <t>Prél FDR PUEL</t>
  </si>
  <si>
    <r>
      <t>ANR / PIA</t>
    </r>
    <r>
      <rPr>
        <sz val="9"/>
        <color indexed="10"/>
        <rFont val="Arial"/>
        <family val="2"/>
      </rPr>
      <t xml:space="preserve"> (Equipex ImaginExBioMed)</t>
    </r>
  </si>
  <si>
    <t>2é versement du CR NPDC</t>
  </si>
  <si>
    <t>Autres subvention d'exploitation</t>
  </si>
  <si>
    <t>Collectivités ( 2é versment CR)</t>
  </si>
  <si>
    <t>Participation Membre associé</t>
  </si>
  <si>
    <t>Autres participations</t>
  </si>
  <si>
    <t>Autres subventions  (CDC)</t>
  </si>
  <si>
    <t xml:space="preserve">Autres subventions   </t>
  </si>
  <si>
    <t>Autres subventions (membre associé)</t>
  </si>
  <si>
    <t>Collectivités ( 2é versement CR NPDC)</t>
  </si>
</sst>
</file>

<file path=xl/styles.xml><?xml version="1.0" encoding="utf-8"?>
<styleSheet xmlns="http://schemas.openxmlformats.org/spreadsheetml/2006/main">
  <fonts count="38">
    <font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color indexed="12"/>
      <name val="Arial"/>
      <family val="2"/>
    </font>
    <font>
      <i/>
      <sz val="10"/>
      <name val="Arial"/>
      <family val="2"/>
    </font>
    <font>
      <b/>
      <i/>
      <sz val="10"/>
      <color indexed="10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0"/>
      <color indexed="4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1"/>
      <color indexed="10"/>
      <name val="Arial"/>
      <family val="2"/>
    </font>
    <font>
      <sz val="10"/>
      <color indexed="17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b/>
      <i/>
      <sz val="12"/>
      <color indexed="12"/>
      <name val="Arial"/>
      <family val="2"/>
    </font>
    <font>
      <i/>
      <sz val="10"/>
      <color indexed="10"/>
      <name val="Arial"/>
      <family val="2"/>
    </font>
    <font>
      <u val="single"/>
      <sz val="10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u val="single"/>
      <sz val="9"/>
      <color indexed="10"/>
      <name val="Arial"/>
      <family val="2"/>
    </font>
    <font>
      <sz val="9"/>
      <color indexed="10"/>
      <name val="Arial"/>
      <family val="2"/>
    </font>
    <font>
      <b/>
      <sz val="10"/>
      <color rgb="FFFF0000"/>
      <name val="Arial"/>
      <family val="2"/>
    </font>
    <font>
      <sz val="10"/>
      <color rgb="FF3333FF"/>
      <name val="Arial"/>
      <family val="2"/>
    </font>
    <font>
      <b/>
      <sz val="26"/>
      <color rgb="FF00B050"/>
      <name val="Arial"/>
      <family val="2"/>
    </font>
    <font>
      <b/>
      <i/>
      <sz val="20"/>
      <color rgb="FF0000FF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  <scheme val="minor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ck"/>
      <top style="thin"/>
      <bottom style="thin"/>
    </border>
    <border>
      <left/>
      <right style="thick"/>
      <top/>
      <bottom/>
    </border>
    <border>
      <left/>
      <right style="thick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4">
    <xf numFmtId="0" fontId="0" fillId="0" borderId="0" xfId="0"/>
    <xf numFmtId="3" fontId="0" fillId="0" borderId="0" xfId="0" applyNumberFormat="1"/>
    <xf numFmtId="0" fontId="3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3" fontId="6" fillId="2" borderId="1" xfId="0" applyNumberFormat="1" applyFont="1" applyFill="1" applyBorder="1" applyAlignment="1">
      <alignment vertical="center"/>
    </xf>
    <xf numFmtId="10" fontId="0" fillId="0" borderId="1" xfId="0" applyNumberFormat="1" applyBorder="1" applyAlignment="1">
      <alignment vertical="center"/>
    </xf>
    <xf numFmtId="10" fontId="0" fillId="2" borderId="1" xfId="0" applyNumberFormat="1" applyFill="1" applyBorder="1" applyAlignment="1">
      <alignment vertical="center"/>
    </xf>
    <xf numFmtId="0" fontId="8" fillId="0" borderId="0" xfId="0" applyFont="1" applyAlignment="1">
      <alignment horizontal="center"/>
    </xf>
    <xf numFmtId="3" fontId="6" fillId="0" borderId="1" xfId="0" applyNumberFormat="1" applyFont="1" applyBorder="1" applyAlignment="1">
      <alignment horizontal="center" vertical="center"/>
    </xf>
    <xf numFmtId="3" fontId="3" fillId="0" borderId="0" xfId="0" applyNumberFormat="1" applyFont="1"/>
    <xf numFmtId="3" fontId="0" fillId="0" borderId="1" xfId="0" applyNumberFormat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3" fontId="10" fillId="0" borderId="1" xfId="0" applyNumberFormat="1" applyFont="1" applyBorder="1"/>
    <xf numFmtId="0" fontId="0" fillId="0" borderId="0" xfId="0" applyBorder="1"/>
    <xf numFmtId="0" fontId="13" fillId="0" borderId="0" xfId="0" applyFont="1"/>
    <xf numFmtId="3" fontId="2" fillId="0" borderId="1" xfId="0" applyNumberFormat="1" applyFont="1" applyBorder="1"/>
    <xf numFmtId="3" fontId="0" fillId="0" borderId="1" xfId="0" applyNumberFormat="1" applyFill="1" applyBorder="1"/>
    <xf numFmtId="3" fontId="7" fillId="0" borderId="1" xfId="0" applyNumberFormat="1" applyFont="1" applyBorder="1" applyAlignment="1">
      <alignment vertical="center"/>
    </xf>
    <xf numFmtId="0" fontId="11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14" fontId="0" fillId="0" borderId="0" xfId="0" applyNumberFormat="1" applyFont="1"/>
    <xf numFmtId="0" fontId="0" fillId="3" borderId="0" xfId="0" applyFont="1" applyFill="1"/>
    <xf numFmtId="0" fontId="0" fillId="0" borderId="2" xfId="0" applyFont="1" applyBorder="1"/>
    <xf numFmtId="0" fontId="4" fillId="4" borderId="3" xfId="0" applyFont="1" applyFill="1" applyBorder="1" applyAlignment="1">
      <alignment/>
    </xf>
    <xf numFmtId="0" fontId="4" fillId="4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0" fillId="0" borderId="3" xfId="0" applyFont="1" applyFill="1" applyBorder="1"/>
    <xf numFmtId="0" fontId="0" fillId="0" borderId="5" xfId="0" applyFont="1" applyBorder="1"/>
    <xf numFmtId="3" fontId="0" fillId="0" borderId="6" xfId="0" applyNumberFormat="1" applyFont="1" applyBorder="1"/>
    <xf numFmtId="0" fontId="0" fillId="0" borderId="6" xfId="0" applyFont="1" applyBorder="1"/>
    <xf numFmtId="0" fontId="0" fillId="0" borderId="5" xfId="0" applyFont="1" applyFill="1" applyBorder="1"/>
    <xf numFmtId="0" fontId="4" fillId="4" borderId="7" xfId="0" applyFont="1" applyFill="1" applyBorder="1" applyAlignment="1">
      <alignment/>
    </xf>
    <xf numFmtId="3" fontId="0" fillId="0" borderId="6" xfId="0" applyNumberFormat="1" applyFont="1" applyFill="1" applyBorder="1" applyAlignment="1">
      <alignment horizontal="right"/>
    </xf>
    <xf numFmtId="3" fontId="17" fillId="0" borderId="0" xfId="0" applyNumberFormat="1" applyFont="1" applyFill="1" applyBorder="1"/>
    <xf numFmtId="0" fontId="0" fillId="0" borderId="0" xfId="0" applyFont="1" applyFill="1" applyBorder="1"/>
    <xf numFmtId="0" fontId="0" fillId="0" borderId="2" xfId="0" applyFont="1" applyFill="1" applyBorder="1"/>
    <xf numFmtId="0" fontId="0" fillId="0" borderId="8" xfId="0" applyFont="1" applyFill="1" applyBorder="1" applyAlignment="1">
      <alignment wrapText="1"/>
    </xf>
    <xf numFmtId="0" fontId="9" fillId="0" borderId="6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6" xfId="0" applyFont="1" applyFill="1" applyBorder="1"/>
    <xf numFmtId="3" fontId="17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/>
    <xf numFmtId="0" fontId="0" fillId="0" borderId="3" xfId="0" applyFont="1" applyBorder="1"/>
    <xf numFmtId="0" fontId="0" fillId="0" borderId="0" xfId="0" applyFont="1" applyFill="1"/>
    <xf numFmtId="0" fontId="4" fillId="2" borderId="3" xfId="0" applyFont="1" applyFill="1" applyBorder="1" applyAlignment="1">
      <alignment/>
    </xf>
    <xf numFmtId="0" fontId="4" fillId="2" borderId="1" xfId="0" applyFont="1" applyFill="1" applyBorder="1"/>
    <xf numFmtId="0" fontId="2" fillId="0" borderId="1" xfId="0" applyFont="1" applyBorder="1"/>
    <xf numFmtId="0" fontId="0" fillId="0" borderId="1" xfId="0" applyFont="1" applyBorder="1"/>
    <xf numFmtId="3" fontId="0" fillId="0" borderId="0" xfId="0" applyNumberFormat="1" applyFont="1"/>
    <xf numFmtId="3" fontId="0" fillId="0" borderId="0" xfId="0" applyNumberFormat="1" applyFont="1" applyAlignment="1">
      <alignment horizontal="center"/>
    </xf>
    <xf numFmtId="3" fontId="0" fillId="0" borderId="0" xfId="0" applyNumberFormat="1" applyBorder="1"/>
    <xf numFmtId="3" fontId="0" fillId="0" borderId="1" xfId="0" applyNumberFormat="1" applyFont="1" applyFill="1" applyBorder="1"/>
    <xf numFmtId="3" fontId="4" fillId="0" borderId="1" xfId="0" applyNumberFormat="1" applyFont="1" applyBorder="1"/>
    <xf numFmtId="0" fontId="8" fillId="0" borderId="0" xfId="0" applyFont="1" applyAlignment="1">
      <alignment horizontal="left"/>
    </xf>
    <xf numFmtId="0" fontId="4" fillId="5" borderId="1" xfId="0" applyFont="1" applyFill="1" applyBorder="1" applyAlignment="1">
      <alignment horizontal="left"/>
    </xf>
    <xf numFmtId="0" fontId="4" fillId="5" borderId="1" xfId="0" applyFont="1" applyFill="1" applyBorder="1" applyAlignment="1">
      <alignment/>
    </xf>
    <xf numFmtId="0" fontId="4" fillId="5" borderId="0" xfId="0" applyFont="1" applyFill="1" applyBorder="1"/>
    <xf numFmtId="3" fontId="0" fillId="5" borderId="9" xfId="0" applyNumberFormat="1" applyFill="1" applyBorder="1"/>
    <xf numFmtId="0" fontId="0" fillId="0" borderId="1" xfId="0" applyBorder="1" applyAlignment="1">
      <alignment horizontal="left"/>
    </xf>
    <xf numFmtId="0" fontId="4" fillId="5" borderId="1" xfId="0" applyFont="1" applyFill="1" applyBorder="1"/>
    <xf numFmtId="3" fontId="4" fillId="5" borderId="1" xfId="0" applyNumberFormat="1" applyFont="1" applyFill="1" applyBorder="1"/>
    <xf numFmtId="0" fontId="10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4" fillId="0" borderId="1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/>
    <xf numFmtId="0" fontId="4" fillId="5" borderId="0" xfId="0" applyFont="1" applyFill="1" applyBorder="1" applyAlignment="1">
      <alignment horizontal="center"/>
    </xf>
    <xf numFmtId="0" fontId="10" fillId="0" borderId="0" xfId="0" applyFont="1" applyBorder="1"/>
    <xf numFmtId="0" fontId="3" fillId="0" borderId="1" xfId="0" applyFont="1" applyBorder="1"/>
    <xf numFmtId="0" fontId="5" fillId="0" borderId="0" xfId="0" applyFont="1" applyAlignment="1">
      <alignment/>
    </xf>
    <xf numFmtId="3" fontId="0" fillId="0" borderId="1" xfId="0" applyNumberFormat="1" applyFont="1" applyBorder="1"/>
    <xf numFmtId="3" fontId="4" fillId="5" borderId="1" xfId="0" applyNumberFormat="1" applyFont="1" applyFill="1" applyBorder="1"/>
    <xf numFmtId="0" fontId="4" fillId="6" borderId="1" xfId="0" applyFont="1" applyFill="1" applyBorder="1" applyAlignment="1">
      <alignment horizontal="center"/>
    </xf>
    <xf numFmtId="3" fontId="4" fillId="6" borderId="1" xfId="0" applyNumberFormat="1" applyFont="1" applyFill="1" applyBorder="1" applyAlignment="1">
      <alignment horizontal="center"/>
    </xf>
    <xf numFmtId="3" fontId="18" fillId="0" borderId="0" xfId="0" applyNumberFormat="1" applyFont="1" applyBorder="1" applyAlignment="1">
      <alignment horizontal="center"/>
    </xf>
    <xf numFmtId="3" fontId="18" fillId="0" borderId="0" xfId="0" applyNumberFormat="1" applyFont="1" applyBorder="1" applyAlignment="1">
      <alignment/>
    </xf>
    <xf numFmtId="4" fontId="6" fillId="7" borderId="11" xfId="0" applyNumberFormat="1" applyFont="1" applyFill="1" applyBorder="1" applyAlignment="1">
      <alignment/>
    </xf>
    <xf numFmtId="4" fontId="6" fillId="7" borderId="12" xfId="0" applyNumberFormat="1" applyFont="1" applyFill="1" applyBorder="1"/>
    <xf numFmtId="4" fontId="6" fillId="7" borderId="13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0" fontId="16" fillId="0" borderId="0" xfId="0" applyFont="1"/>
    <xf numFmtId="0" fontId="0" fillId="0" borderId="10" xfId="0" applyBorder="1"/>
    <xf numFmtId="3" fontId="0" fillId="0" borderId="10" xfId="0" applyNumberFormat="1" applyBorder="1"/>
    <xf numFmtId="3" fontId="0" fillId="0" borderId="6" xfId="0" applyNumberFormat="1" applyBorder="1"/>
    <xf numFmtId="3" fontId="4" fillId="4" borderId="1" xfId="0" applyNumberFormat="1" applyFont="1" applyFill="1" applyBorder="1" applyAlignment="1">
      <alignment horizontal="right"/>
    </xf>
    <xf numFmtId="3" fontId="2" fillId="4" borderId="14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3" fontId="16" fillId="0" borderId="10" xfId="0" applyNumberFormat="1" applyFont="1" applyFill="1" applyBorder="1" applyAlignment="1">
      <alignment horizontal="right"/>
    </xf>
    <xf numFmtId="3" fontId="16" fillId="0" borderId="1" xfId="0" applyNumberFormat="1" applyFont="1" applyFill="1" applyBorder="1" applyAlignment="1">
      <alignment horizontal="right"/>
    </xf>
    <xf numFmtId="3" fontId="2" fillId="4" borderId="10" xfId="0" applyNumberFormat="1" applyFont="1" applyFill="1" applyBorder="1" applyAlignment="1">
      <alignment horizontal="right"/>
    </xf>
    <xf numFmtId="3" fontId="0" fillId="0" borderId="2" xfId="0" applyNumberFormat="1" applyFont="1" applyFill="1" applyBorder="1" applyAlignment="1">
      <alignment horizontal="right"/>
    </xf>
    <xf numFmtId="3" fontId="16" fillId="0" borderId="14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3" fontId="16" fillId="0" borderId="10" xfId="0" applyNumberFormat="1" applyFont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3" fontId="4" fillId="2" borderId="1" xfId="0" applyNumberFormat="1" applyFont="1" applyFill="1" applyBorder="1" applyAlignment="1">
      <alignment horizontal="right"/>
    </xf>
    <xf numFmtId="3" fontId="3" fillId="2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>
      <alignment horizontal="right"/>
    </xf>
    <xf numFmtId="3" fontId="19" fillId="0" borderId="6" xfId="0" applyNumberFormat="1" applyFont="1" applyFill="1" applyBorder="1" applyAlignment="1">
      <alignment horizontal="right"/>
    </xf>
    <xf numFmtId="3" fontId="10" fillId="0" borderId="6" xfId="0" applyNumberFormat="1" applyFont="1" applyBorder="1"/>
    <xf numFmtId="3" fontId="0" fillId="0" borderId="0" xfId="0" applyNumberFormat="1" applyFont="1" applyBorder="1"/>
    <xf numFmtId="0" fontId="0" fillId="0" borderId="2" xfId="0" applyFont="1" applyFill="1" applyBorder="1" applyAlignment="1">
      <alignment vertical="top"/>
    </xf>
    <xf numFmtId="3" fontId="2" fillId="2" borderId="1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0" fontId="2" fillId="6" borderId="1" xfId="0" applyFont="1" applyFill="1" applyBorder="1" applyAlignment="1">
      <alignment horizontal="center"/>
    </xf>
    <xf numFmtId="3" fontId="2" fillId="6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3" fontId="3" fillId="4" borderId="14" xfId="0" applyNumberFormat="1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/>
    </xf>
    <xf numFmtId="3" fontId="17" fillId="0" borderId="10" xfId="0" applyNumberFormat="1" applyFont="1" applyFill="1" applyBorder="1" applyAlignment="1">
      <alignment horizontal="right"/>
    </xf>
    <xf numFmtId="3" fontId="16" fillId="0" borderId="6" xfId="0" applyNumberFormat="1" applyFont="1" applyFill="1" applyBorder="1" applyAlignment="1">
      <alignment horizontal="right"/>
    </xf>
    <xf numFmtId="3" fontId="17" fillId="0" borderId="6" xfId="0" applyNumberFormat="1" applyFont="1" applyFill="1" applyBorder="1" applyAlignment="1">
      <alignment horizontal="right"/>
    </xf>
    <xf numFmtId="0" fontId="16" fillId="0" borderId="6" xfId="0" applyFont="1" applyFill="1" applyBorder="1" applyAlignment="1">
      <alignment horizontal="right"/>
    </xf>
    <xf numFmtId="3" fontId="16" fillId="0" borderId="6" xfId="0" applyNumberFormat="1" applyFont="1" applyFill="1" applyBorder="1"/>
    <xf numFmtId="3" fontId="3" fillId="4" borderId="10" xfId="0" applyNumberFormat="1" applyFont="1" applyFill="1" applyBorder="1" applyAlignment="1">
      <alignment horizontal="right"/>
    </xf>
    <xf numFmtId="3" fontId="17" fillId="0" borderId="6" xfId="0" applyNumberFormat="1" applyFont="1" applyBorder="1"/>
    <xf numFmtId="0" fontId="4" fillId="0" borderId="4" xfId="0" applyFont="1" applyFill="1" applyBorder="1" applyAlignment="1">
      <alignment/>
    </xf>
    <xf numFmtId="3" fontId="2" fillId="0" borderId="14" xfId="0" applyNumberFormat="1" applyFont="1" applyFill="1" applyBorder="1" applyAlignment="1">
      <alignment horizontal="right"/>
    </xf>
    <xf numFmtId="3" fontId="3" fillId="0" borderId="14" xfId="0" applyNumberFormat="1" applyFont="1" applyFill="1" applyBorder="1" applyAlignment="1">
      <alignment horizontal="right"/>
    </xf>
    <xf numFmtId="3" fontId="16" fillId="0" borderId="2" xfId="0" applyNumberFormat="1" applyFont="1" applyFill="1" applyBorder="1" applyAlignment="1">
      <alignment horizontal="right"/>
    </xf>
    <xf numFmtId="3" fontId="17" fillId="0" borderId="14" xfId="0" applyNumberFormat="1" applyFont="1" applyFill="1" applyBorder="1" applyAlignment="1">
      <alignment horizontal="right"/>
    </xf>
    <xf numFmtId="0" fontId="17" fillId="0" borderId="6" xfId="0" applyFont="1" applyBorder="1"/>
    <xf numFmtId="3" fontId="3" fillId="4" borderId="1" xfId="0" applyNumberFormat="1" applyFont="1" applyFill="1" applyBorder="1" applyAlignment="1">
      <alignment horizontal="right"/>
    </xf>
    <xf numFmtId="3" fontId="16" fillId="0" borderId="1" xfId="0" applyNumberFormat="1" applyFont="1" applyBorder="1" applyAlignment="1">
      <alignment horizontal="right"/>
    </xf>
    <xf numFmtId="3" fontId="17" fillId="0" borderId="10" xfId="0" applyNumberFormat="1" applyFont="1" applyBorder="1" applyAlignment="1">
      <alignment horizontal="right"/>
    </xf>
    <xf numFmtId="3" fontId="16" fillId="0" borderId="6" xfId="0" applyNumberFormat="1" applyFont="1" applyBorder="1"/>
    <xf numFmtId="3" fontId="16" fillId="0" borderId="11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1" fillId="0" borderId="0" xfId="0" applyFont="1"/>
    <xf numFmtId="3" fontId="0" fillId="5" borderId="1" xfId="0" applyNumberFormat="1" applyFill="1" applyBorder="1"/>
    <xf numFmtId="0" fontId="0" fillId="0" borderId="3" xfId="0" applyBorder="1"/>
    <xf numFmtId="3" fontId="0" fillId="0" borderId="2" xfId="0" applyNumberFormat="1" applyBorder="1"/>
    <xf numFmtId="0" fontId="4" fillId="5" borderId="3" xfId="0" applyFont="1" applyFill="1" applyBorder="1"/>
    <xf numFmtId="0" fontId="4" fillId="5" borderId="10" xfId="0" applyFont="1" applyFill="1" applyBorder="1" applyAlignment="1">
      <alignment horizontal="center"/>
    </xf>
    <xf numFmtId="0" fontId="0" fillId="5" borderId="3" xfId="0" applyFont="1" applyFill="1" applyBorder="1"/>
    <xf numFmtId="3" fontId="2" fillId="5" borderId="1" xfId="0" applyNumberFormat="1" applyFont="1" applyFill="1" applyBorder="1"/>
    <xf numFmtId="3" fontId="0" fillId="5" borderId="1" xfId="0" applyNumberFormat="1" applyFont="1" applyFill="1" applyBorder="1"/>
    <xf numFmtId="0" fontId="0" fillId="5" borderId="1" xfId="0" applyFont="1" applyFill="1" applyBorder="1"/>
    <xf numFmtId="0" fontId="2" fillId="0" borderId="3" xfId="0" applyFont="1" applyBorder="1"/>
    <xf numFmtId="0" fontId="3" fillId="0" borderId="3" xfId="0" applyFont="1" applyBorder="1"/>
    <xf numFmtId="3" fontId="18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3" fontId="18" fillId="0" borderId="1" xfId="0" applyNumberFormat="1" applyFont="1" applyBorder="1" applyAlignment="1">
      <alignment vertical="center"/>
    </xf>
    <xf numFmtId="0" fontId="4" fillId="5" borderId="0" xfId="0" applyFont="1" applyFill="1" applyBorder="1" applyAlignment="1">
      <alignment/>
    </xf>
    <xf numFmtId="0" fontId="17" fillId="0" borderId="0" xfId="0" applyFont="1" applyFill="1" applyBorder="1" applyAlignment="1">
      <alignment horizontal="right"/>
    </xf>
    <xf numFmtId="3" fontId="4" fillId="0" borderId="0" xfId="0" applyNumberFormat="1" applyFont="1" applyBorder="1"/>
    <xf numFmtId="0" fontId="0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4" fillId="0" borderId="8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0" borderId="14" xfId="0" applyNumberFormat="1" applyFont="1" applyFill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0" fillId="0" borderId="6" xfId="0" applyFont="1" applyFill="1" applyBorder="1" applyAlignment="1">
      <alignment horizontal="right"/>
    </xf>
    <xf numFmtId="3" fontId="0" fillId="0" borderId="6" xfId="0" applyNumberFormat="1" applyFont="1" applyFill="1" applyBorder="1"/>
    <xf numFmtId="0" fontId="16" fillId="0" borderId="6" xfId="0" applyFont="1" applyFill="1" applyBorder="1"/>
    <xf numFmtId="3" fontId="4" fillId="4" borderId="14" xfId="0" applyNumberFormat="1" applyFont="1" applyFill="1" applyBorder="1" applyAlignment="1">
      <alignment horizontal="right"/>
    </xf>
    <xf numFmtId="3" fontId="4" fillId="4" borderId="1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3" fontId="4" fillId="0" borderId="14" xfId="0" applyNumberFormat="1" applyFont="1" applyFill="1" applyBorder="1" applyAlignment="1">
      <alignment horizontal="right"/>
    </xf>
    <xf numFmtId="3" fontId="4" fillId="4" borderId="7" xfId="0" applyNumberFormat="1" applyFont="1" applyFill="1" applyBorder="1" applyAlignment="1">
      <alignment horizontal="right"/>
    </xf>
    <xf numFmtId="3" fontId="4" fillId="2" borderId="10" xfId="0" applyNumberFormat="1" applyFont="1" applyFill="1" applyBorder="1" applyAlignment="1">
      <alignment horizontal="right"/>
    </xf>
    <xf numFmtId="0" fontId="4" fillId="2" borderId="10" xfId="0" applyFont="1" applyFill="1" applyBorder="1" applyAlignment="1">
      <alignment/>
    </xf>
    <xf numFmtId="3" fontId="16" fillId="0" borderId="0" xfId="0" applyNumberFormat="1" applyFont="1" applyFill="1" applyBorder="1" applyAlignment="1">
      <alignment horizontal="right"/>
    </xf>
    <xf numFmtId="0" fontId="2" fillId="2" borderId="3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right"/>
    </xf>
    <xf numFmtId="0" fontId="23" fillId="0" borderId="5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20" fillId="0" borderId="5" xfId="0" applyFont="1" applyFill="1" applyBorder="1" applyAlignment="1">
      <alignment horizontal="left"/>
    </xf>
    <xf numFmtId="0" fontId="20" fillId="0" borderId="5" xfId="0" applyFont="1" applyFill="1" applyBorder="1"/>
    <xf numFmtId="49" fontId="0" fillId="0" borderId="5" xfId="0" applyNumberFormat="1" applyFont="1" applyFill="1" applyBorder="1"/>
    <xf numFmtId="0" fontId="24" fillId="0" borderId="5" xfId="0" applyFont="1" applyFill="1" applyBorder="1"/>
    <xf numFmtId="0" fontId="12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3" fontId="25" fillId="0" borderId="0" xfId="0" applyNumberFormat="1" applyFont="1" applyAlignment="1">
      <alignment horizontal="center"/>
    </xf>
    <xf numFmtId="0" fontId="25" fillId="0" borderId="0" xfId="0" applyFont="1"/>
    <xf numFmtId="0" fontId="25" fillId="0" borderId="0" xfId="0" applyFont="1" applyFill="1" applyBorder="1"/>
    <xf numFmtId="3" fontId="26" fillId="0" borderId="0" xfId="0" applyNumberFormat="1" applyFont="1" applyAlignment="1">
      <alignment horizontal="center"/>
    </xf>
    <xf numFmtId="0" fontId="27" fillId="0" borderId="5" xfId="0" applyFont="1" applyFill="1" applyBorder="1"/>
    <xf numFmtId="0" fontId="4" fillId="6" borderId="10" xfId="0" applyFont="1" applyFill="1" applyBorder="1" applyAlignment="1">
      <alignment horizontal="center"/>
    </xf>
    <xf numFmtId="3" fontId="4" fillId="0" borderId="6" xfId="0" applyNumberFormat="1" applyFont="1" applyBorder="1"/>
    <xf numFmtId="3" fontId="4" fillId="0" borderId="6" xfId="0" applyNumberFormat="1" applyFont="1" applyFill="1" applyBorder="1"/>
    <xf numFmtId="3" fontId="4" fillId="0" borderId="6" xfId="0" applyNumberFormat="1" applyFont="1" applyFill="1" applyBorder="1" applyAlignment="1">
      <alignment horizontal="right"/>
    </xf>
    <xf numFmtId="3" fontId="4" fillId="2" borderId="1" xfId="0" applyNumberFormat="1" applyFont="1" applyFill="1" applyBorder="1" applyAlignment="1">
      <alignment horizontal="right"/>
    </xf>
    <xf numFmtId="3" fontId="2" fillId="0" borderId="6" xfId="0" applyNumberFormat="1" applyFont="1" applyBorder="1"/>
    <xf numFmtId="0" fontId="16" fillId="0" borderId="6" xfId="0" applyFont="1" applyBorder="1"/>
    <xf numFmtId="3" fontId="4" fillId="5" borderId="10" xfId="0" applyNumberFormat="1" applyFont="1" applyFill="1" applyBorder="1"/>
    <xf numFmtId="3" fontId="0" fillId="0" borderId="10" xfId="0" applyNumberFormat="1" applyFont="1" applyBorder="1"/>
    <xf numFmtId="3" fontId="4" fillId="5" borderId="10" xfId="0" applyNumberFormat="1" applyFont="1" applyFill="1" applyBorder="1"/>
    <xf numFmtId="3" fontId="0" fillId="0" borderId="10" xfId="0" applyNumberFormat="1" applyFont="1" applyFill="1" applyBorder="1"/>
    <xf numFmtId="3" fontId="0" fillId="0" borderId="10" xfId="0" applyNumberFormat="1" applyFill="1" applyBorder="1"/>
    <xf numFmtId="3" fontId="10" fillId="0" borderId="10" xfId="0" applyNumberFormat="1" applyFont="1" applyBorder="1"/>
    <xf numFmtId="0" fontId="4" fillId="2" borderId="1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3" fontId="4" fillId="0" borderId="2" xfId="0" applyNumberFormat="1" applyFont="1" applyFill="1" applyBorder="1" applyAlignment="1">
      <alignment horizontal="right"/>
    </xf>
    <xf numFmtId="3" fontId="4" fillId="0" borderId="4" xfId="0" applyNumberFormat="1" applyFont="1" applyFill="1" applyBorder="1" applyAlignment="1">
      <alignment horizontal="right"/>
    </xf>
    <xf numFmtId="3" fontId="2" fillId="0" borderId="4" xfId="0" applyNumberFormat="1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3" fontId="4" fillId="0" borderId="11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3" fontId="2" fillId="0" borderId="6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3" fillId="0" borderId="6" xfId="0" applyNumberFormat="1" applyFont="1" applyFill="1" applyBorder="1" applyAlignment="1">
      <alignment horizontal="right"/>
    </xf>
    <xf numFmtId="0" fontId="24" fillId="0" borderId="5" xfId="0" applyFont="1" applyFill="1" applyBorder="1" applyAlignment="1">
      <alignment horizontal="left"/>
    </xf>
    <xf numFmtId="0" fontId="0" fillId="0" borderId="6" xfId="0" applyBorder="1"/>
    <xf numFmtId="0" fontId="0" fillId="0" borderId="11" xfId="0" applyBorder="1"/>
    <xf numFmtId="0" fontId="0" fillId="8" borderId="1" xfId="0" applyFill="1" applyBorder="1"/>
    <xf numFmtId="3" fontId="0" fillId="8" borderId="1" xfId="0" applyNumberFormat="1" applyFill="1" applyBorder="1"/>
    <xf numFmtId="3" fontId="29" fillId="0" borderId="1" xfId="0" applyNumberFormat="1" applyFont="1" applyBorder="1"/>
    <xf numFmtId="0" fontId="2" fillId="0" borderId="9" xfId="0" applyFont="1" applyBorder="1" applyAlignment="1">
      <alignment horizontal="center"/>
    </xf>
    <xf numFmtId="0" fontId="0" fillId="0" borderId="9" xfId="0" applyBorder="1"/>
    <xf numFmtId="0" fontId="4" fillId="2" borderId="16" xfId="0" applyFont="1" applyFill="1" applyBorder="1" applyAlignment="1">
      <alignment horizontal="center"/>
    </xf>
    <xf numFmtId="0" fontId="4" fillId="5" borderId="17" xfId="0" applyFont="1" applyFill="1" applyBorder="1" applyAlignment="1">
      <alignment/>
    </xf>
    <xf numFmtId="3" fontId="0" fillId="0" borderId="18" xfId="0" applyNumberFormat="1" applyBorder="1"/>
    <xf numFmtId="3" fontId="0" fillId="5" borderId="18" xfId="0" applyNumberFormat="1" applyFill="1" applyBorder="1"/>
    <xf numFmtId="3" fontId="0" fillId="0" borderId="16" xfId="0" applyNumberFormat="1" applyBorder="1"/>
    <xf numFmtId="3" fontId="0" fillId="0" borderId="17" xfId="0" applyNumberFormat="1" applyBorder="1"/>
    <xf numFmtId="0" fontId="8" fillId="0" borderId="0" xfId="0" applyFont="1" applyBorder="1" applyAlignment="1">
      <alignment horizontal="left"/>
    </xf>
    <xf numFmtId="3" fontId="4" fillId="0" borderId="16" xfId="0" applyNumberFormat="1" applyFont="1" applyBorder="1"/>
    <xf numFmtId="0" fontId="4" fillId="9" borderId="2" xfId="0" applyFont="1" applyFill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left"/>
    </xf>
    <xf numFmtId="3" fontId="30" fillId="0" borderId="6" xfId="0" applyNumberFormat="1" applyFont="1" applyFill="1" applyBorder="1" applyAlignment="1">
      <alignment horizontal="right"/>
    </xf>
    <xf numFmtId="3" fontId="30" fillId="0" borderId="6" xfId="0" applyNumberFormat="1" applyFont="1" applyFill="1" applyBorder="1"/>
    <xf numFmtId="3" fontId="30" fillId="0" borderId="6" xfId="0" applyNumberFormat="1" applyFont="1" applyBorder="1"/>
    <xf numFmtId="0" fontId="30" fillId="0" borderId="6" xfId="0" applyFont="1" applyBorder="1"/>
    <xf numFmtId="3" fontId="30" fillId="0" borderId="11" xfId="0" applyNumberFormat="1" applyFont="1" applyBorder="1"/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2" xfId="0" applyFont="1" applyFill="1" applyBorder="1" applyAlignment="1">
      <alignment/>
    </xf>
    <xf numFmtId="0" fontId="0" fillId="0" borderId="1" xfId="0" applyFont="1" applyFill="1" applyBorder="1"/>
    <xf numFmtId="16" fontId="0" fillId="0" borderId="1" xfId="0" applyNumberFormat="1" applyFont="1" applyFill="1" applyBorder="1"/>
    <xf numFmtId="0" fontId="34" fillId="0" borderId="5" xfId="0" applyFont="1" applyFill="1" applyBorder="1" applyAlignment="1">
      <alignment horizontal="right"/>
    </xf>
    <xf numFmtId="0" fontId="33" fillId="0" borderId="6" xfId="0" applyFont="1" applyFill="1" applyBorder="1"/>
    <xf numFmtId="3" fontId="33" fillId="0" borderId="6" xfId="0" applyNumberFormat="1" applyFont="1" applyFill="1" applyBorder="1" applyAlignment="1">
      <alignment horizontal="right"/>
    </xf>
    <xf numFmtId="3" fontId="0" fillId="0" borderId="7" xfId="0" applyNumberFormat="1" applyBorder="1"/>
    <xf numFmtId="0" fontId="4" fillId="0" borderId="1" xfId="0" applyFont="1" applyBorder="1" applyAlignment="1">
      <alignment horizontal="center"/>
    </xf>
    <xf numFmtId="0" fontId="0" fillId="10" borderId="9" xfId="0" applyFont="1" applyFill="1" applyBorder="1"/>
    <xf numFmtId="0" fontId="4" fillId="0" borderId="1" xfId="0" applyFont="1" applyFill="1" applyBorder="1" applyAlignment="1">
      <alignment horizontal="center"/>
    </xf>
    <xf numFmtId="3" fontId="33" fillId="0" borderId="1" xfId="0" applyNumberFormat="1" applyFont="1" applyBorder="1"/>
    <xf numFmtId="3" fontId="33" fillId="0" borderId="6" xfId="0" applyNumberFormat="1" applyFont="1" applyBorder="1"/>
    <xf numFmtId="3" fontId="33" fillId="5" borderId="1" xfId="0" applyNumberFormat="1" applyFont="1" applyFill="1" applyBorder="1"/>
    <xf numFmtId="0" fontId="0" fillId="0" borderId="1" xfId="0" applyFont="1" applyBorder="1" applyAlignment="1">
      <alignment vertical="center"/>
    </xf>
    <xf numFmtId="0" fontId="35" fillId="0" borderId="1" xfId="0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4" borderId="3" xfId="0" applyFont="1" applyFill="1" applyBorder="1" applyAlignment="1">
      <alignment/>
    </xf>
    <xf numFmtId="0" fontId="4" fillId="4" borderId="4" xfId="0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4" fillId="4" borderId="7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276225</xdr:colOff>
      <xdr:row>6</xdr:row>
      <xdr:rowOff>104775</xdr:rowOff>
    </xdr:to>
    <xdr:pic>
      <xdr:nvPicPr>
        <xdr:cNvPr id="2" name="Image 1" descr="PRES entre 40mm et 50 m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1800225" cy="10763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1628775</xdr:colOff>
      <xdr:row>6</xdr:row>
      <xdr:rowOff>28575</xdr:rowOff>
    </xdr:to>
    <xdr:pic>
      <xdr:nvPicPr>
        <xdr:cNvPr id="43009" name="Picture 1" descr="PRES entre 40mm et 50 m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1800225" cy="1133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180975</xdr:colOff>
      <xdr:row>67</xdr:row>
      <xdr:rowOff>19050</xdr:rowOff>
    </xdr:from>
    <xdr:to>
      <xdr:col>15</xdr:col>
      <xdr:colOff>228600</xdr:colOff>
      <xdr:row>69</xdr:row>
      <xdr:rowOff>0</xdr:rowOff>
    </xdr:to>
    <xdr:sp macro="" textlink="">
      <xdr:nvSpPr>
        <xdr:cNvPr id="4" name="Accolade ouvrante 3"/>
        <xdr:cNvSpPr/>
      </xdr:nvSpPr>
      <xdr:spPr>
        <a:xfrm>
          <a:off x="15078075" y="11125200"/>
          <a:ext cx="47625" cy="361950"/>
        </a:xfrm>
        <a:prstGeom prst="leftBrac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1133475</xdr:colOff>
      <xdr:row>5</xdr:row>
      <xdr:rowOff>180975</xdr:rowOff>
    </xdr:to>
    <xdr:pic>
      <xdr:nvPicPr>
        <xdr:cNvPr id="48129" name="Picture 1" descr="PRES entre 40mm et 50 m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1800225" cy="11334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1038225</xdr:colOff>
      <xdr:row>6</xdr:row>
      <xdr:rowOff>104775</xdr:rowOff>
    </xdr:to>
    <xdr:pic>
      <xdr:nvPicPr>
        <xdr:cNvPr id="46081" name="Picture 1" descr="PRES entre 40mm et 50 m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1524000" cy="1076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1314450</xdr:colOff>
      <xdr:row>6</xdr:row>
      <xdr:rowOff>104775</xdr:rowOff>
    </xdr:to>
    <xdr:pic>
      <xdr:nvPicPr>
        <xdr:cNvPr id="46082" name="Picture 1" descr="PRES entre 40mm et 50 m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0"/>
          <a:ext cx="1800225" cy="10763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1038225</xdr:colOff>
      <xdr:row>5</xdr:row>
      <xdr:rowOff>123825</xdr:rowOff>
    </xdr:to>
    <xdr:pic>
      <xdr:nvPicPr>
        <xdr:cNvPr id="45057" name="Picture 1" descr="PRES entre 40mm et 50 m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1800225" cy="10763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K16"/>
  <sheetViews>
    <sheetView workbookViewId="0" topLeftCell="A1">
      <selection activeCell="D31" sqref="D31"/>
    </sheetView>
  </sheetViews>
  <sheetFormatPr defaultColWidth="11.421875" defaultRowHeight="12.75"/>
  <sheetData>
    <row r="10" spans="1:11" ht="33.75">
      <c r="A10" s="280" t="s">
        <v>67</v>
      </c>
      <c r="B10" s="280"/>
      <c r="C10" s="280"/>
      <c r="D10" s="280"/>
      <c r="E10" s="280"/>
      <c r="F10" s="280"/>
      <c r="G10" s="280"/>
      <c r="H10" s="280"/>
      <c r="I10" s="261"/>
      <c r="J10" s="261"/>
      <c r="K10" s="261"/>
    </row>
    <row r="11" spans="1:11" ht="33.75">
      <c r="A11" s="260"/>
      <c r="B11" s="260"/>
      <c r="C11" s="260"/>
      <c r="D11" s="260"/>
      <c r="E11" s="260"/>
      <c r="F11" s="260"/>
      <c r="G11" s="260"/>
      <c r="H11" s="260"/>
      <c r="I11" s="260"/>
      <c r="J11" s="260"/>
      <c r="K11" s="260"/>
    </row>
    <row r="12" spans="1:11" ht="33.75">
      <c r="A12" s="260"/>
      <c r="B12" s="260"/>
      <c r="C12" s="260"/>
      <c r="D12" s="260"/>
      <c r="E12" s="260"/>
      <c r="F12" s="260"/>
      <c r="G12" s="260"/>
      <c r="H12" s="260"/>
      <c r="I12" s="260"/>
      <c r="J12" s="260"/>
      <c r="K12" s="260"/>
    </row>
    <row r="13" spans="1:11" ht="33.75">
      <c r="A13" s="260"/>
      <c r="B13" s="260"/>
      <c r="C13" s="260"/>
      <c r="D13" s="260"/>
      <c r="E13" s="260"/>
      <c r="F13" s="260"/>
      <c r="G13" s="260"/>
      <c r="H13" s="260"/>
      <c r="I13" s="260"/>
      <c r="J13" s="260"/>
      <c r="K13" s="260"/>
    </row>
    <row r="16" spans="1:11" ht="25.5">
      <c r="A16" s="279" t="s">
        <v>187</v>
      </c>
      <c r="B16" s="279"/>
      <c r="C16" s="279"/>
      <c r="D16" s="279"/>
      <c r="E16" s="279"/>
      <c r="F16" s="279"/>
      <c r="G16" s="279"/>
      <c r="H16" s="279"/>
      <c r="I16" s="262"/>
      <c r="J16" s="262"/>
      <c r="K16" s="262"/>
    </row>
  </sheetData>
  <mergeCells count="2">
    <mergeCell ref="A16:H16"/>
    <mergeCell ref="A10:H10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8"/>
  <sheetViews>
    <sheetView workbookViewId="0" topLeftCell="A7">
      <selection activeCell="B30" sqref="B30"/>
    </sheetView>
  </sheetViews>
  <sheetFormatPr defaultColWidth="11.421875" defaultRowHeight="12.75"/>
  <cols>
    <col min="1" max="1" width="2.57421875" style="35" customWidth="1"/>
    <col min="2" max="2" width="46.7109375" style="35" customWidth="1"/>
    <col min="3" max="3" width="14.57421875" style="36" customWidth="1"/>
    <col min="4" max="4" width="11.00390625" style="36" customWidth="1"/>
    <col min="5" max="5" width="10.140625" style="36" customWidth="1"/>
    <col min="6" max="6" width="12.00390625" style="36" customWidth="1"/>
    <col min="7" max="7" width="12.140625" style="36" customWidth="1"/>
    <col min="8" max="8" width="10.8515625" style="36" customWidth="1"/>
    <col min="9" max="9" width="11.57421875" style="36" customWidth="1"/>
    <col min="10" max="11" width="10.140625" style="36" customWidth="1"/>
    <col min="12" max="12" width="11.8515625" style="36" customWidth="1"/>
    <col min="13" max="13" width="3.00390625" style="35" customWidth="1"/>
    <col min="14" max="14" width="46.421875" style="35" bestFit="1" customWidth="1"/>
    <col min="15" max="15" width="10.28125" style="35" customWidth="1"/>
    <col min="16" max="17" width="10.421875" style="35" customWidth="1"/>
    <col min="18" max="18" width="9.8515625" style="35" customWidth="1"/>
    <col min="19" max="19" width="11.421875" style="35" customWidth="1"/>
    <col min="20" max="20" width="12.7109375" style="35" customWidth="1"/>
    <col min="21" max="16384" width="11.421875" style="35" customWidth="1"/>
  </cols>
  <sheetData>
    <row r="1" ht="12.75">
      <c r="N1" s="37"/>
    </row>
    <row r="2" ht="12.75">
      <c r="N2" s="37"/>
    </row>
    <row r="3" ht="12.75">
      <c r="N3" s="37"/>
    </row>
    <row r="4" spans="1:18" ht="18">
      <c r="A4" s="3"/>
      <c r="B4" s="86" t="s">
        <v>67</v>
      </c>
      <c r="C4" s="86" t="s">
        <v>179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3"/>
    </row>
    <row r="5" spans="1:15" ht="18">
      <c r="A5" s="32"/>
      <c r="B5" s="32"/>
      <c r="C5" s="86"/>
      <c r="D5" s="86"/>
      <c r="E5" s="86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2" ht="12.7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2" ht="12.7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2" ht="12.7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2" ht="12.7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2" ht="12.7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</row>
    <row r="11" spans="1:12" ht="12.75">
      <c r="A11" s="33"/>
      <c r="B11" s="34"/>
      <c r="C11" s="33"/>
      <c r="D11" s="33"/>
      <c r="E11" s="33"/>
      <c r="F11" s="33"/>
      <c r="G11" s="33"/>
      <c r="H11" s="33"/>
      <c r="I11" s="33"/>
      <c r="J11" s="33"/>
      <c r="K11" s="33"/>
      <c r="L11" s="33"/>
    </row>
    <row r="12" spans="1:18" ht="12.75">
      <c r="A12" s="33"/>
      <c r="B12" s="33"/>
      <c r="C12" s="300" t="s">
        <v>1</v>
      </c>
      <c r="D12" s="301"/>
      <c r="E12" s="301"/>
      <c r="F12" s="301"/>
      <c r="G12" s="301"/>
      <c r="H12" s="301"/>
      <c r="I12" s="301"/>
      <c r="J12" s="301"/>
      <c r="K12" s="301"/>
      <c r="L12" s="301"/>
      <c r="M12" s="38"/>
      <c r="N12" s="281" t="s">
        <v>2</v>
      </c>
      <c r="O12" s="284" t="s">
        <v>138</v>
      </c>
      <c r="P12" s="285"/>
      <c r="Q12" s="285"/>
      <c r="R12" s="286"/>
    </row>
    <row r="13" spans="1:18" ht="12.75">
      <c r="A13" s="33"/>
      <c r="B13" s="33"/>
      <c r="C13" s="292" t="s">
        <v>68</v>
      </c>
      <c r="D13" s="293"/>
      <c r="E13" s="294"/>
      <c r="F13" s="292" t="s">
        <v>69</v>
      </c>
      <c r="G13" s="293"/>
      <c r="H13" s="294"/>
      <c r="I13" s="292" t="s">
        <v>70</v>
      </c>
      <c r="J13" s="293"/>
      <c r="K13" s="294"/>
      <c r="L13" s="290" t="s">
        <v>0</v>
      </c>
      <c r="M13" s="38"/>
      <c r="N13" s="282"/>
      <c r="O13" s="287"/>
      <c r="P13" s="288"/>
      <c r="Q13" s="288"/>
      <c r="R13" s="289"/>
    </row>
    <row r="14" spans="3:18" ht="12.75">
      <c r="C14" s="89" t="s">
        <v>134</v>
      </c>
      <c r="D14" s="89" t="s">
        <v>135</v>
      </c>
      <c r="E14" s="124" t="s">
        <v>180</v>
      </c>
      <c r="F14" s="89" t="s">
        <v>134</v>
      </c>
      <c r="G14" s="89" t="s">
        <v>135</v>
      </c>
      <c r="H14" s="124" t="s">
        <v>180</v>
      </c>
      <c r="I14" s="89" t="s">
        <v>136</v>
      </c>
      <c r="J14" s="204" t="s">
        <v>135</v>
      </c>
      <c r="K14" s="124" t="s">
        <v>181</v>
      </c>
      <c r="L14" s="291"/>
      <c r="M14" s="38"/>
      <c r="N14" s="283"/>
      <c r="O14" s="90" t="s">
        <v>134</v>
      </c>
      <c r="P14" s="90" t="s">
        <v>135</v>
      </c>
      <c r="Q14" s="125" t="s">
        <v>180</v>
      </c>
      <c r="R14" s="126" t="s">
        <v>0</v>
      </c>
    </row>
    <row r="15" spans="1:18" ht="12.75">
      <c r="A15" s="295" t="s">
        <v>5</v>
      </c>
      <c r="B15" s="296"/>
      <c r="C15" s="101">
        <f aca="true" t="shared" si="0" ref="C15:J15">SUM(C16:C22)</f>
        <v>271000</v>
      </c>
      <c r="D15" s="101">
        <f t="shared" si="0"/>
        <v>553941</v>
      </c>
      <c r="E15" s="101">
        <f>SUM(E16:E22)</f>
        <v>520000</v>
      </c>
      <c r="F15" s="101">
        <f>SUM(F16:F22)</f>
        <v>323200</v>
      </c>
      <c r="G15" s="101">
        <f t="shared" si="0"/>
        <v>100100</v>
      </c>
      <c r="H15" s="101">
        <f>SUM(H16:H22)</f>
        <v>45000</v>
      </c>
      <c r="I15" s="101">
        <f t="shared" si="0"/>
        <v>10000</v>
      </c>
      <c r="J15" s="177">
        <f t="shared" si="0"/>
        <v>0</v>
      </c>
      <c r="K15" s="102">
        <f>SUM(K16:K22)</f>
        <v>2000000</v>
      </c>
      <c r="L15" s="127">
        <f>SUM(C15:K15)</f>
        <v>3823241</v>
      </c>
      <c r="M15" s="38"/>
      <c r="O15" s="39"/>
      <c r="P15" s="39"/>
      <c r="Q15" s="39"/>
      <c r="R15" s="39"/>
    </row>
    <row r="16" spans="1:18" ht="12.75">
      <c r="A16" s="42"/>
      <c r="B16" s="43" t="s">
        <v>6</v>
      </c>
      <c r="C16" s="103"/>
      <c r="D16" s="103">
        <v>100000</v>
      </c>
      <c r="E16" s="105">
        <v>520000</v>
      </c>
      <c r="F16" s="103"/>
      <c r="G16" s="103"/>
      <c r="H16" s="105">
        <v>45000</v>
      </c>
      <c r="I16" s="103"/>
      <c r="J16" s="171"/>
      <c r="K16" s="104">
        <v>2000000</v>
      </c>
      <c r="L16" s="129">
        <f>SUM(C16:K16)</f>
        <v>2665000</v>
      </c>
      <c r="M16" s="38"/>
      <c r="N16" s="188" t="s">
        <v>139</v>
      </c>
      <c r="O16" s="49"/>
      <c r="P16" s="49"/>
      <c r="Q16" s="130"/>
      <c r="R16" s="131"/>
    </row>
    <row r="17" spans="1:18" ht="12.75">
      <c r="A17" s="42"/>
      <c r="B17" s="121" t="s">
        <v>7</v>
      </c>
      <c r="C17" s="103">
        <f>81000+130000+12000+5000</f>
        <v>228000</v>
      </c>
      <c r="D17" s="103">
        <f>19000+8000+150000</f>
        <v>177000</v>
      </c>
      <c r="E17" s="105"/>
      <c r="F17" s="103">
        <f>32200+50100+60900</f>
        <v>143200</v>
      </c>
      <c r="G17" s="103">
        <f>32200+57900+50000</f>
        <v>140100</v>
      </c>
      <c r="H17" s="105"/>
      <c r="I17" s="103"/>
      <c r="J17" s="171"/>
      <c r="K17" s="104"/>
      <c r="L17" s="129">
        <f>SUM(C17:J17)</f>
        <v>688300</v>
      </c>
      <c r="M17" s="38"/>
      <c r="N17" s="189" t="s">
        <v>140</v>
      </c>
      <c r="O17" s="49">
        <v>390000</v>
      </c>
      <c r="P17" s="49">
        <v>40000</v>
      </c>
      <c r="Q17" s="130"/>
      <c r="R17" s="255">
        <f aca="true" t="shared" si="1" ref="R17:R22">SUM(O17:P17)</f>
        <v>430000</v>
      </c>
    </row>
    <row r="18" spans="1:18" ht="12.75">
      <c r="A18" s="47"/>
      <c r="B18" s="43" t="s">
        <v>8</v>
      </c>
      <c r="C18" s="103">
        <v>5000</v>
      </c>
      <c r="D18" s="103">
        <f>199941-5000</f>
        <v>194941</v>
      </c>
      <c r="E18" s="105"/>
      <c r="F18" s="103"/>
      <c r="G18" s="103"/>
      <c r="H18" s="105"/>
      <c r="I18" s="103"/>
      <c r="J18" s="171"/>
      <c r="K18" s="104"/>
      <c r="L18" s="129">
        <f>SUM(C18:I18)</f>
        <v>199941</v>
      </c>
      <c r="M18" s="38"/>
      <c r="N18" s="189" t="s">
        <v>141</v>
      </c>
      <c r="O18" s="49">
        <v>38000</v>
      </c>
      <c r="P18" s="174"/>
      <c r="Q18" s="132"/>
      <c r="R18" s="255">
        <f t="shared" si="1"/>
        <v>38000</v>
      </c>
    </row>
    <row r="19" spans="1:18" ht="12.75">
      <c r="A19" s="47"/>
      <c r="B19" s="43" t="s">
        <v>60</v>
      </c>
      <c r="C19" s="103">
        <v>0</v>
      </c>
      <c r="D19" s="103">
        <v>38000</v>
      </c>
      <c r="E19" s="105"/>
      <c r="F19" s="103"/>
      <c r="G19" s="103"/>
      <c r="H19" s="105"/>
      <c r="I19" s="103"/>
      <c r="J19" s="171"/>
      <c r="K19" s="104"/>
      <c r="L19" s="129">
        <f>SUM(C19:I19)</f>
        <v>38000</v>
      </c>
      <c r="M19" s="38"/>
      <c r="N19" s="190" t="s">
        <v>142</v>
      </c>
      <c r="O19" s="49">
        <v>30000</v>
      </c>
      <c r="P19" s="49">
        <v>111000</v>
      </c>
      <c r="Q19" s="130">
        <v>-41000</v>
      </c>
      <c r="R19" s="130">
        <f>SUM(O19:Q19)</f>
        <v>100000</v>
      </c>
    </row>
    <row r="20" spans="1:19" ht="12.75">
      <c r="A20" s="47"/>
      <c r="B20" s="43" t="s">
        <v>71</v>
      </c>
      <c r="C20" s="103">
        <f>67000-30000</f>
        <v>37000</v>
      </c>
      <c r="D20" s="103">
        <v>40000</v>
      </c>
      <c r="E20" s="105"/>
      <c r="F20" s="103">
        <f>200000-20000</f>
        <v>180000</v>
      </c>
      <c r="G20" s="103">
        <v>-40000</v>
      </c>
      <c r="H20" s="105"/>
      <c r="I20" s="103">
        <v>10000</v>
      </c>
      <c r="J20" s="171"/>
      <c r="K20" s="104"/>
      <c r="L20" s="129">
        <f>SUM(C20:I20)</f>
        <v>227000</v>
      </c>
      <c r="M20" s="38"/>
      <c r="N20" s="190" t="s">
        <v>143</v>
      </c>
      <c r="O20" s="49"/>
      <c r="P20" s="49">
        <v>95000</v>
      </c>
      <c r="Q20" s="130">
        <v>-29667</v>
      </c>
      <c r="R20" s="130">
        <f>SUM(O20:Q20)</f>
        <v>65333</v>
      </c>
      <c r="S20" s="97"/>
    </row>
    <row r="21" spans="1:18" ht="12.75">
      <c r="A21" s="47"/>
      <c r="B21" s="43" t="s">
        <v>72</v>
      </c>
      <c r="C21" s="103">
        <v>0</v>
      </c>
      <c r="D21" s="103">
        <f>40000-40000</f>
        <v>0</v>
      </c>
      <c r="E21" s="105"/>
      <c r="F21" s="103"/>
      <c r="G21" s="103"/>
      <c r="H21" s="105"/>
      <c r="I21" s="103"/>
      <c r="J21" s="171"/>
      <c r="K21" s="104"/>
      <c r="L21" s="129">
        <f>SUM(C21:I21)</f>
        <v>0</v>
      </c>
      <c r="M21" s="38"/>
      <c r="N21" s="189" t="s">
        <v>144</v>
      </c>
      <c r="O21" s="49"/>
      <c r="P21" s="49">
        <v>91500</v>
      </c>
      <c r="Q21" s="130"/>
      <c r="R21" s="255">
        <f t="shared" si="1"/>
        <v>91500</v>
      </c>
    </row>
    <row r="22" spans="1:18" ht="12.75">
      <c r="A22" s="47"/>
      <c r="B22" s="43" t="s">
        <v>61</v>
      </c>
      <c r="C22" s="103">
        <v>1000</v>
      </c>
      <c r="D22" s="103">
        <v>4000</v>
      </c>
      <c r="E22" s="105"/>
      <c r="F22" s="105"/>
      <c r="G22" s="103"/>
      <c r="H22" s="105"/>
      <c r="I22" s="105"/>
      <c r="J22" s="171"/>
      <c r="K22" s="104"/>
      <c r="L22" s="129">
        <f>SUM(C22:I22)</f>
        <v>5000</v>
      </c>
      <c r="M22" s="38"/>
      <c r="N22" s="189" t="s">
        <v>110</v>
      </c>
      <c r="O22" s="46"/>
      <c r="P22" s="175">
        <f>65000+5000+281</f>
        <v>70281</v>
      </c>
      <c r="Q22" s="133"/>
      <c r="R22" s="255">
        <f t="shared" si="1"/>
        <v>70281</v>
      </c>
    </row>
    <row r="23" spans="1:20" ht="12.75">
      <c r="A23" s="295" t="s">
        <v>9</v>
      </c>
      <c r="B23" s="302"/>
      <c r="C23" s="101">
        <f aca="true" t="shared" si="2" ref="C23:J23">SUM(C25:C27)</f>
        <v>24000</v>
      </c>
      <c r="D23" s="101">
        <f t="shared" si="2"/>
        <v>45000</v>
      </c>
      <c r="E23" s="110">
        <f>SUM(E24:E27)</f>
        <v>0</v>
      </c>
      <c r="F23" s="101">
        <f t="shared" si="2"/>
        <v>36250</v>
      </c>
      <c r="G23" s="101">
        <f t="shared" si="2"/>
        <v>47550</v>
      </c>
      <c r="H23" s="110">
        <f>SUM(H24:H27)</f>
        <v>0</v>
      </c>
      <c r="I23" s="101">
        <f t="shared" si="2"/>
        <v>2000</v>
      </c>
      <c r="J23" s="178">
        <f t="shared" si="2"/>
        <v>0</v>
      </c>
      <c r="K23" s="106">
        <f>SUM(K24:K27)</f>
        <v>0</v>
      </c>
      <c r="L23" s="134">
        <f>SUM(C23:K23)</f>
        <v>154800</v>
      </c>
      <c r="M23" s="38"/>
      <c r="N23" s="190" t="s">
        <v>145</v>
      </c>
      <c r="O23" s="210"/>
      <c r="P23" s="205">
        <v>1829944</v>
      </c>
      <c r="Q23" s="209">
        <f>-34000+4334+41000+31250</f>
        <v>42584</v>
      </c>
      <c r="R23" s="145">
        <f>SUM(O23:Q23)</f>
        <v>1872528</v>
      </c>
      <c r="S23" s="50"/>
      <c r="T23" s="51"/>
    </row>
    <row r="24" spans="1:20" ht="12.75">
      <c r="A24" s="168"/>
      <c r="B24" s="136"/>
      <c r="C24" s="113"/>
      <c r="D24" s="113"/>
      <c r="E24" s="114"/>
      <c r="F24" s="113"/>
      <c r="G24" s="113"/>
      <c r="H24" s="114"/>
      <c r="I24" s="113"/>
      <c r="J24" s="179"/>
      <c r="K24" s="169"/>
      <c r="L24" s="170"/>
      <c r="M24" s="38"/>
      <c r="N24" s="190" t="s">
        <v>182</v>
      </c>
      <c r="O24" s="56"/>
      <c r="P24" s="206"/>
      <c r="Q24" s="133">
        <v>43300</v>
      </c>
      <c r="R24" s="256">
        <f>O24+P24+Q24</f>
        <v>43300</v>
      </c>
      <c r="S24" s="50"/>
      <c r="T24" s="51"/>
    </row>
    <row r="25" spans="1:20" ht="12.75">
      <c r="A25" s="52"/>
      <c r="B25" s="53" t="s">
        <v>167</v>
      </c>
      <c r="C25" s="103"/>
      <c r="D25" s="103"/>
      <c r="E25" s="105"/>
      <c r="F25" s="103"/>
      <c r="G25" s="103">
        <v>2800</v>
      </c>
      <c r="H25" s="105"/>
      <c r="I25" s="103"/>
      <c r="J25" s="171"/>
      <c r="K25" s="104"/>
      <c r="L25" s="129">
        <v>2800</v>
      </c>
      <c r="M25" s="38"/>
      <c r="N25" s="191" t="s">
        <v>146</v>
      </c>
      <c r="O25" s="118"/>
      <c r="P25" s="49"/>
      <c r="Q25" s="130"/>
      <c r="R25" s="49"/>
      <c r="S25" s="50"/>
      <c r="T25" s="51"/>
    </row>
    <row r="26" spans="1:20" ht="12.75">
      <c r="A26" s="54"/>
      <c r="B26" s="43" t="s">
        <v>23</v>
      </c>
      <c r="C26" s="103">
        <v>9000</v>
      </c>
      <c r="D26" s="103">
        <f>39000-9000</f>
        <v>30000</v>
      </c>
      <c r="E26" s="105"/>
      <c r="F26" s="103">
        <f>25000/4</f>
        <v>6250</v>
      </c>
      <c r="G26" s="103">
        <f>25000-6250+13000</f>
        <v>31750</v>
      </c>
      <c r="H26" s="105"/>
      <c r="I26" s="103"/>
      <c r="J26" s="171"/>
      <c r="K26" s="104"/>
      <c r="L26" s="129">
        <f>SUM(C26:J26)</f>
        <v>77000</v>
      </c>
      <c r="M26" s="38"/>
      <c r="N26" s="203" t="s">
        <v>190</v>
      </c>
      <c r="O26" s="130"/>
      <c r="P26" s="207"/>
      <c r="Q26" s="130">
        <v>2565000</v>
      </c>
      <c r="R26" s="130">
        <f>SUM(O26:Q26)</f>
        <v>2565000</v>
      </c>
      <c r="S26" s="50"/>
      <c r="T26" s="51"/>
    </row>
    <row r="27" spans="1:20" ht="12.75">
      <c r="A27" s="54"/>
      <c r="B27" s="55" t="s">
        <v>24</v>
      </c>
      <c r="C27" s="103">
        <f>30000/2</f>
        <v>15000</v>
      </c>
      <c r="D27" s="103">
        <f>30000-15000</f>
        <v>15000</v>
      </c>
      <c r="E27" s="105"/>
      <c r="F27" s="103">
        <v>30000</v>
      </c>
      <c r="G27" s="103">
        <v>13000</v>
      </c>
      <c r="H27" s="105"/>
      <c r="I27" s="103">
        <v>2000</v>
      </c>
      <c r="J27" s="171"/>
      <c r="K27" s="104"/>
      <c r="L27" s="129">
        <f>SUM(C27:J27)</f>
        <v>75000</v>
      </c>
      <c r="M27" s="38"/>
      <c r="N27" s="192" t="s">
        <v>147</v>
      </c>
      <c r="O27" s="46"/>
      <c r="P27" s="49"/>
      <c r="Q27" s="130"/>
      <c r="R27" s="49"/>
      <c r="S27" s="50"/>
      <c r="T27" s="51"/>
    </row>
    <row r="28" spans="1:20" ht="12.75">
      <c r="A28" s="295" t="s">
        <v>10</v>
      </c>
      <c r="B28" s="296"/>
      <c r="C28" s="101">
        <f aca="true" t="shared" si="3" ref="C28:J28">SUM(C29:C35)</f>
        <v>23000</v>
      </c>
      <c r="D28" s="101">
        <f t="shared" si="3"/>
        <v>264600</v>
      </c>
      <c r="E28" s="110">
        <f>SUM(E29:E35)</f>
        <v>0</v>
      </c>
      <c r="F28" s="101">
        <f t="shared" si="3"/>
        <v>5000</v>
      </c>
      <c r="G28" s="101">
        <f t="shared" si="3"/>
        <v>38000</v>
      </c>
      <c r="H28" s="110">
        <f>SUM(H29:H35)</f>
        <v>0</v>
      </c>
      <c r="I28" s="101">
        <f t="shared" si="3"/>
        <v>5000</v>
      </c>
      <c r="J28" s="177">
        <f t="shared" si="3"/>
        <v>0</v>
      </c>
      <c r="K28" s="102">
        <f>SUM(K29:K35)</f>
        <v>0</v>
      </c>
      <c r="L28" s="127">
        <f>SUM(C28:K28)</f>
        <v>335600</v>
      </c>
      <c r="M28" s="38"/>
      <c r="N28" s="189" t="s">
        <v>148</v>
      </c>
      <c r="O28" s="49">
        <v>32200</v>
      </c>
      <c r="P28" s="49"/>
      <c r="Q28" s="130"/>
      <c r="R28" s="255">
        <f>SUM(O28:O28)</f>
        <v>32200</v>
      </c>
      <c r="S28" s="50"/>
      <c r="T28" s="51"/>
    </row>
    <row r="29" spans="1:20" ht="12.75">
      <c r="A29" s="47"/>
      <c r="B29" s="43" t="s">
        <v>11</v>
      </c>
      <c r="C29" s="103">
        <v>5000</v>
      </c>
      <c r="D29" s="103">
        <f>38000-5000+1000</f>
        <v>34000</v>
      </c>
      <c r="E29" s="105"/>
      <c r="F29" s="103">
        <v>0</v>
      </c>
      <c r="G29" s="103"/>
      <c r="H29" s="105"/>
      <c r="I29" s="103"/>
      <c r="J29" s="171"/>
      <c r="K29" s="104"/>
      <c r="L29" s="129">
        <f aca="true" t="shared" si="4" ref="L29:L35">SUM(C29:J29)</f>
        <v>39000</v>
      </c>
      <c r="M29" s="38"/>
      <c r="N29" s="189" t="s">
        <v>149</v>
      </c>
      <c r="O29" s="49">
        <v>50100</v>
      </c>
      <c r="P29" s="49"/>
      <c r="Q29" s="130"/>
      <c r="R29" s="255">
        <f aca="true" t="shared" si="5" ref="R29:R37">SUM(O29:P29)</f>
        <v>50100</v>
      </c>
      <c r="S29" s="50"/>
      <c r="T29" s="51"/>
    </row>
    <row r="30" spans="1:20" ht="12.75">
      <c r="A30" s="47"/>
      <c r="B30" s="43" t="s">
        <v>12</v>
      </c>
      <c r="C30" s="103">
        <f>4000/2</f>
        <v>2000</v>
      </c>
      <c r="D30" s="103">
        <v>6000</v>
      </c>
      <c r="E30" s="105"/>
      <c r="F30" s="103"/>
      <c r="G30" s="103"/>
      <c r="H30" s="105"/>
      <c r="I30" s="103"/>
      <c r="J30" s="171"/>
      <c r="K30" s="104"/>
      <c r="L30" s="129">
        <f t="shared" si="4"/>
        <v>8000</v>
      </c>
      <c r="M30" s="38"/>
      <c r="N30" s="189" t="s">
        <v>150</v>
      </c>
      <c r="O30" s="49">
        <v>65900</v>
      </c>
      <c r="P30" s="49"/>
      <c r="Q30" s="130"/>
      <c r="R30" s="255">
        <f t="shared" si="5"/>
        <v>65900</v>
      </c>
      <c r="S30" s="57"/>
      <c r="T30" s="51"/>
    </row>
    <row r="31" spans="1:20" s="60" customFormat="1" ht="12.75">
      <c r="A31" s="47"/>
      <c r="B31" s="43" t="s">
        <v>25</v>
      </c>
      <c r="C31" s="103">
        <v>5000</v>
      </c>
      <c r="D31" s="103">
        <f>50000-5000+5000</f>
        <v>50000</v>
      </c>
      <c r="E31" s="105"/>
      <c r="F31" s="103"/>
      <c r="G31" s="103"/>
      <c r="H31" s="105"/>
      <c r="I31" s="103"/>
      <c r="J31" s="171"/>
      <c r="K31" s="104"/>
      <c r="L31" s="129">
        <f t="shared" si="4"/>
        <v>55000</v>
      </c>
      <c r="M31" s="38"/>
      <c r="N31" s="189" t="s">
        <v>151</v>
      </c>
      <c r="O31" s="49">
        <v>227000</v>
      </c>
      <c r="P31" s="49"/>
      <c r="Q31" s="130"/>
      <c r="R31" s="255">
        <f t="shared" si="5"/>
        <v>227000</v>
      </c>
      <c r="S31" s="57"/>
      <c r="T31" s="51"/>
    </row>
    <row r="32" spans="1:20" ht="12.75">
      <c r="A32" s="47"/>
      <c r="B32" s="43" t="s">
        <v>36</v>
      </c>
      <c r="C32" s="103">
        <v>5000</v>
      </c>
      <c r="D32" s="103">
        <f>17600-5000</f>
        <v>12600</v>
      </c>
      <c r="E32" s="105"/>
      <c r="F32" s="103"/>
      <c r="G32" s="103">
        <v>6000</v>
      </c>
      <c r="H32" s="105"/>
      <c r="I32" s="103"/>
      <c r="J32" s="171"/>
      <c r="K32" s="104"/>
      <c r="L32" s="129">
        <f t="shared" si="4"/>
        <v>23600</v>
      </c>
      <c r="M32" s="38"/>
      <c r="N32" s="189" t="s">
        <v>152</v>
      </c>
      <c r="O32" s="49">
        <v>300000</v>
      </c>
      <c r="P32" s="49"/>
      <c r="Q32" s="130"/>
      <c r="R32" s="255">
        <f t="shared" si="5"/>
        <v>300000</v>
      </c>
      <c r="S32" s="50"/>
      <c r="T32" s="51"/>
    </row>
    <row r="33" spans="1:20" ht="12.75">
      <c r="A33" s="47"/>
      <c r="B33" s="43" t="s">
        <v>26</v>
      </c>
      <c r="C33" s="103">
        <v>0</v>
      </c>
      <c r="D33" s="103">
        <v>140000</v>
      </c>
      <c r="E33" s="105"/>
      <c r="F33" s="103"/>
      <c r="G33" s="103"/>
      <c r="H33" s="105"/>
      <c r="I33" s="103"/>
      <c r="J33" s="171"/>
      <c r="K33" s="104"/>
      <c r="L33" s="129">
        <f t="shared" si="4"/>
        <v>140000</v>
      </c>
      <c r="M33" s="38"/>
      <c r="N33" s="189" t="s">
        <v>153</v>
      </c>
      <c r="O33" s="49"/>
      <c r="P33" s="49">
        <v>140000</v>
      </c>
      <c r="Q33" s="131"/>
      <c r="R33" s="255">
        <f t="shared" si="5"/>
        <v>140000</v>
      </c>
      <c r="S33" s="50"/>
      <c r="T33" s="51"/>
    </row>
    <row r="34" spans="1:20" s="60" customFormat="1" ht="12.75">
      <c r="A34" s="47"/>
      <c r="B34" s="43" t="s">
        <v>73</v>
      </c>
      <c r="C34" s="103">
        <v>5000</v>
      </c>
      <c r="D34" s="103">
        <v>18000</v>
      </c>
      <c r="E34" s="105"/>
      <c r="F34" s="103">
        <f>10000/2</f>
        <v>5000</v>
      </c>
      <c r="G34" s="103">
        <f>37000-5000</f>
        <v>32000</v>
      </c>
      <c r="H34" s="105"/>
      <c r="I34" s="103">
        <v>5000</v>
      </c>
      <c r="J34" s="171"/>
      <c r="K34" s="104"/>
      <c r="L34" s="129">
        <f t="shared" si="4"/>
        <v>65000</v>
      </c>
      <c r="M34" s="38"/>
      <c r="N34" s="189" t="s">
        <v>154</v>
      </c>
      <c r="O34" s="49"/>
      <c r="P34" s="49">
        <v>50000</v>
      </c>
      <c r="Q34" s="131"/>
      <c r="R34" s="255">
        <f t="shared" si="5"/>
        <v>50000</v>
      </c>
      <c r="S34" s="50"/>
      <c r="T34" s="51"/>
    </row>
    <row r="35" spans="1:20" ht="12.75">
      <c r="A35" s="47"/>
      <c r="B35" s="43" t="s">
        <v>27</v>
      </c>
      <c r="C35" s="103">
        <v>1000</v>
      </c>
      <c r="D35" s="103">
        <v>4000</v>
      </c>
      <c r="E35" s="105"/>
      <c r="F35" s="103"/>
      <c r="G35" s="103"/>
      <c r="H35" s="105"/>
      <c r="I35" s="103"/>
      <c r="J35" s="171"/>
      <c r="K35" s="104"/>
      <c r="L35" s="129">
        <f t="shared" si="4"/>
        <v>5000</v>
      </c>
      <c r="M35" s="38"/>
      <c r="N35" s="189" t="s">
        <v>155</v>
      </c>
      <c r="O35" s="46"/>
      <c r="P35" s="45">
        <v>100000</v>
      </c>
      <c r="Q35" s="135"/>
      <c r="R35" s="255">
        <f t="shared" si="5"/>
        <v>100000</v>
      </c>
      <c r="S35" s="50"/>
      <c r="T35" s="51"/>
    </row>
    <row r="36" spans="1:20" ht="12.75">
      <c r="A36" s="295" t="s">
        <v>13</v>
      </c>
      <c r="B36" s="296"/>
      <c r="C36" s="101">
        <f aca="true" t="shared" si="6" ref="C36:J36">SUM(C39:C43)</f>
        <v>284600</v>
      </c>
      <c r="D36" s="101">
        <f t="shared" si="6"/>
        <v>246900</v>
      </c>
      <c r="E36" s="101">
        <f>SUM(E37:E43)</f>
        <v>67300</v>
      </c>
      <c r="F36" s="101">
        <f t="shared" si="6"/>
        <v>95300</v>
      </c>
      <c r="G36" s="101">
        <f t="shared" si="6"/>
        <v>120900</v>
      </c>
      <c r="H36" s="110">
        <f>SUM(H37:H43)</f>
        <v>0</v>
      </c>
      <c r="I36" s="101">
        <f t="shared" si="6"/>
        <v>20000</v>
      </c>
      <c r="J36" s="177">
        <f t="shared" si="6"/>
        <v>10000</v>
      </c>
      <c r="K36" s="102">
        <f>SUM(K37:K43)</f>
        <v>0</v>
      </c>
      <c r="L36" s="127">
        <f>SUM(C36:K36)</f>
        <v>845000</v>
      </c>
      <c r="M36" s="38"/>
      <c r="N36" s="189" t="s">
        <v>106</v>
      </c>
      <c r="O36" s="46"/>
      <c r="P36" s="49">
        <v>20000</v>
      </c>
      <c r="Q36" s="131"/>
      <c r="R36" s="255">
        <f t="shared" si="5"/>
        <v>20000</v>
      </c>
      <c r="S36" s="50"/>
      <c r="T36" s="51"/>
    </row>
    <row r="37" spans="1:20" s="60" customFormat="1" ht="12.75">
      <c r="A37" s="42"/>
      <c r="B37" s="264"/>
      <c r="C37" s="113"/>
      <c r="D37" s="113"/>
      <c r="E37" s="114"/>
      <c r="F37" s="113"/>
      <c r="G37" s="113"/>
      <c r="H37" s="114"/>
      <c r="I37" s="113"/>
      <c r="J37" s="180"/>
      <c r="K37" s="137"/>
      <c r="L37" s="138"/>
      <c r="M37" s="38"/>
      <c r="N37" s="189" t="s">
        <v>3</v>
      </c>
      <c r="O37" s="56"/>
      <c r="P37" s="49">
        <v>120000</v>
      </c>
      <c r="Q37" s="131"/>
      <c r="R37" s="255">
        <f t="shared" si="5"/>
        <v>120000</v>
      </c>
      <c r="S37" s="50"/>
      <c r="T37" s="51"/>
    </row>
    <row r="38" spans="1:20" s="60" customFormat="1" ht="12.75">
      <c r="A38" s="42"/>
      <c r="B38" s="264"/>
      <c r="C38" s="113"/>
      <c r="D38" s="113"/>
      <c r="E38" s="114"/>
      <c r="F38" s="113"/>
      <c r="G38" s="113"/>
      <c r="H38" s="114"/>
      <c r="I38" s="113"/>
      <c r="J38" s="180"/>
      <c r="K38" s="137"/>
      <c r="L38" s="138"/>
      <c r="M38" s="38"/>
      <c r="N38" s="267" t="s">
        <v>191</v>
      </c>
      <c r="O38" s="268"/>
      <c r="P38" s="269"/>
      <c r="Q38" s="269">
        <v>492500</v>
      </c>
      <c r="R38" s="269">
        <f>Q38</f>
        <v>492500</v>
      </c>
      <c r="S38" s="50"/>
      <c r="T38" s="51"/>
    </row>
    <row r="39" spans="1:20" ht="12.75">
      <c r="A39" s="47"/>
      <c r="B39" s="265" t="s">
        <v>14</v>
      </c>
      <c r="C39" s="103">
        <v>6000</v>
      </c>
      <c r="D39" s="103">
        <f>71900-6000-30000</f>
        <v>35900</v>
      </c>
      <c r="E39" s="105">
        <v>43300</v>
      </c>
      <c r="F39" s="103">
        <f>31200/4</f>
        <v>7800</v>
      </c>
      <c r="G39" s="103">
        <f>(31200-7800)+50000-30000</f>
        <v>43400</v>
      </c>
      <c r="H39" s="105"/>
      <c r="I39" s="103">
        <f>10000/2</f>
        <v>5000</v>
      </c>
      <c r="J39" s="171">
        <f>10000-5000</f>
        <v>5000</v>
      </c>
      <c r="K39" s="104"/>
      <c r="L39" s="129">
        <f>SUM(C39:K39)</f>
        <v>146400</v>
      </c>
      <c r="M39" s="38"/>
      <c r="N39" s="190" t="s">
        <v>156</v>
      </c>
      <c r="O39" s="176"/>
      <c r="P39" s="49">
        <v>95000</v>
      </c>
      <c r="Q39" s="130">
        <v>-29667</v>
      </c>
      <c r="R39" s="130">
        <f>SUM(O39:Q39)</f>
        <v>65333</v>
      </c>
      <c r="S39" s="58"/>
      <c r="T39" s="51"/>
    </row>
    <row r="40" spans="1:20" ht="12.75">
      <c r="A40" s="47"/>
      <c r="B40" s="265" t="s">
        <v>132</v>
      </c>
      <c r="C40" s="103">
        <v>245000</v>
      </c>
      <c r="D40" s="103">
        <v>7800</v>
      </c>
      <c r="E40" s="105">
        <v>24000</v>
      </c>
      <c r="F40" s="103">
        <v>65000</v>
      </c>
      <c r="G40" s="103"/>
      <c r="H40" s="105"/>
      <c r="I40" s="103">
        <f>10000</f>
        <v>10000</v>
      </c>
      <c r="J40" s="171"/>
      <c r="K40" s="104"/>
      <c r="L40" s="129">
        <f>SUM(C40:K40)</f>
        <v>351800</v>
      </c>
      <c r="M40" s="38"/>
      <c r="N40" s="236" t="s">
        <v>186</v>
      </c>
      <c r="O40" s="56"/>
      <c r="P40" s="56"/>
      <c r="Q40" s="132">
        <v>24000</v>
      </c>
      <c r="R40" s="176">
        <f>O40+P40+Q40</f>
        <v>24000</v>
      </c>
      <c r="S40" s="58"/>
      <c r="T40" s="51"/>
    </row>
    <row r="41" spans="1:20" ht="12.75">
      <c r="A41" s="47"/>
      <c r="B41" s="121" t="s">
        <v>74</v>
      </c>
      <c r="C41" s="107">
        <f>69000/3</f>
        <v>23000</v>
      </c>
      <c r="D41" s="107">
        <f>(69000-23000)+60000+31000</f>
        <v>137000</v>
      </c>
      <c r="E41" s="139"/>
      <c r="F41" s="107">
        <f>30000/2</f>
        <v>15000</v>
      </c>
      <c r="G41" s="107">
        <f>30000-15000</f>
        <v>15000</v>
      </c>
      <c r="H41" s="139"/>
      <c r="I41" s="107">
        <f>10000/2</f>
        <v>5000</v>
      </c>
      <c r="J41" s="172">
        <f>10000-5000</f>
        <v>5000</v>
      </c>
      <c r="K41" s="108"/>
      <c r="L41" s="140">
        <f>SUM(C41:J41)</f>
        <v>200000</v>
      </c>
      <c r="M41" s="38"/>
      <c r="N41" s="192" t="s">
        <v>168</v>
      </c>
      <c r="O41" s="46"/>
      <c r="P41" s="49">
        <v>125000</v>
      </c>
      <c r="Q41" s="131"/>
      <c r="R41" s="257">
        <f>SUM(O41:P41)</f>
        <v>125000</v>
      </c>
      <c r="S41" s="58"/>
      <c r="T41" s="51"/>
    </row>
    <row r="42" spans="1:18" ht="12.75">
      <c r="A42" s="47"/>
      <c r="B42" s="265" t="s">
        <v>75</v>
      </c>
      <c r="C42" s="103">
        <v>5000</v>
      </c>
      <c r="D42" s="103">
        <f>90000-35000</f>
        <v>55000</v>
      </c>
      <c r="E42" s="105"/>
      <c r="F42" s="103"/>
      <c r="G42" s="103">
        <f>50000-10000</f>
        <v>40000</v>
      </c>
      <c r="H42" s="105"/>
      <c r="I42" s="103"/>
      <c r="J42" s="171"/>
      <c r="K42" s="104"/>
      <c r="L42" s="129">
        <f aca="true" t="shared" si="7" ref="L42:L48">SUM(C42:J42)</f>
        <v>100000</v>
      </c>
      <c r="M42" s="38"/>
      <c r="N42" s="44"/>
      <c r="O42" s="46"/>
      <c r="P42" s="46"/>
      <c r="Q42" s="141"/>
      <c r="R42" s="258"/>
    </row>
    <row r="43" spans="1:18" ht="12.75">
      <c r="A43" s="47"/>
      <c r="B43" s="266" t="s">
        <v>76</v>
      </c>
      <c r="C43" s="103">
        <f>16800/3</f>
        <v>5600</v>
      </c>
      <c r="D43" s="103">
        <f>16800-5600</f>
        <v>11200</v>
      </c>
      <c r="E43" s="105"/>
      <c r="F43" s="103">
        <f>30000/4</f>
        <v>7500</v>
      </c>
      <c r="G43" s="103">
        <f>30000-7500</f>
        <v>22500</v>
      </c>
      <c r="H43" s="105"/>
      <c r="I43" s="103"/>
      <c r="J43" s="171"/>
      <c r="K43" s="104"/>
      <c r="L43" s="129">
        <f t="shared" si="7"/>
        <v>46800</v>
      </c>
      <c r="M43" s="38"/>
      <c r="N43" s="193" t="s">
        <v>157</v>
      </c>
      <c r="O43" s="49"/>
      <c r="P43" s="49"/>
      <c r="Q43" s="131"/>
      <c r="R43" s="255"/>
    </row>
    <row r="44" spans="1:18" ht="12.75">
      <c r="A44" s="40" t="s">
        <v>77</v>
      </c>
      <c r="B44" s="41"/>
      <c r="C44" s="101">
        <f aca="true" t="shared" si="8" ref="C44:J44">SUM(C45:C48)</f>
        <v>60144</v>
      </c>
      <c r="D44" s="101">
        <f t="shared" si="8"/>
        <v>479856</v>
      </c>
      <c r="E44" s="101">
        <f>SUM(E45:E48)</f>
        <v>368750</v>
      </c>
      <c r="F44" s="101">
        <f t="shared" si="8"/>
        <v>25000</v>
      </c>
      <c r="G44" s="101">
        <f t="shared" si="8"/>
        <v>49000</v>
      </c>
      <c r="H44" s="101">
        <f>SUM(H45:H48)</f>
        <v>100000</v>
      </c>
      <c r="I44" s="101">
        <f t="shared" si="8"/>
        <v>10000</v>
      </c>
      <c r="J44" s="177">
        <f t="shared" si="8"/>
        <v>135000</v>
      </c>
      <c r="K44" s="102">
        <f>SUM(K45:K48)</f>
        <v>0</v>
      </c>
      <c r="L44" s="127">
        <f>SUM(C44:K44)</f>
        <v>1227750</v>
      </c>
      <c r="M44" s="38"/>
      <c r="N44" s="189" t="s">
        <v>152</v>
      </c>
      <c r="O44" s="49">
        <v>20000</v>
      </c>
      <c r="P44" s="49">
        <v>7800</v>
      </c>
      <c r="Q44" s="131"/>
      <c r="R44" s="255">
        <f>SUM(O44:P44)</f>
        <v>27800</v>
      </c>
    </row>
    <row r="45" spans="1:18" ht="12.75">
      <c r="A45" s="47"/>
      <c r="B45" s="43" t="s">
        <v>15</v>
      </c>
      <c r="C45" s="103">
        <v>20000</v>
      </c>
      <c r="D45" s="103">
        <f>(100000-20000)+190000</f>
        <v>270000</v>
      </c>
      <c r="E45" s="105">
        <f>-55000+31250+392500</f>
        <v>368750</v>
      </c>
      <c r="F45" s="103"/>
      <c r="G45" s="103"/>
      <c r="H45" s="105">
        <v>100000</v>
      </c>
      <c r="I45" s="103"/>
      <c r="J45" s="171">
        <v>125000</v>
      </c>
      <c r="K45" s="104"/>
      <c r="L45" s="129">
        <f>SUM(C45:K45)</f>
        <v>883750</v>
      </c>
      <c r="M45" s="38"/>
      <c r="N45" s="194"/>
      <c r="O45" s="49"/>
      <c r="P45" s="49"/>
      <c r="Q45" s="131"/>
      <c r="R45" s="255"/>
    </row>
    <row r="46" spans="1:18" ht="12.75">
      <c r="A46" s="47"/>
      <c r="B46" s="43" t="s">
        <v>16</v>
      </c>
      <c r="C46" s="103">
        <v>40144</v>
      </c>
      <c r="D46" s="103">
        <f>(215000-40144)+35000</f>
        <v>209856</v>
      </c>
      <c r="E46" s="105"/>
      <c r="F46" s="103"/>
      <c r="G46" s="103"/>
      <c r="H46" s="105"/>
      <c r="I46" s="103"/>
      <c r="J46" s="171"/>
      <c r="K46" s="104"/>
      <c r="L46" s="129">
        <f t="shared" si="7"/>
        <v>250000</v>
      </c>
      <c r="M46" s="38"/>
      <c r="N46" s="193" t="s">
        <v>158</v>
      </c>
      <c r="O46" s="118"/>
      <c r="P46" s="49"/>
      <c r="Q46" s="131"/>
      <c r="R46" s="255"/>
    </row>
    <row r="47" spans="1:18" ht="12.75">
      <c r="A47" s="47"/>
      <c r="B47" s="43" t="s">
        <v>17</v>
      </c>
      <c r="C47" s="103"/>
      <c r="D47" s="103"/>
      <c r="E47" s="105"/>
      <c r="F47" s="103"/>
      <c r="G47" s="103"/>
      <c r="H47" s="105"/>
      <c r="I47" s="103">
        <f>20000/2</f>
        <v>10000</v>
      </c>
      <c r="J47" s="171">
        <v>10000</v>
      </c>
      <c r="K47" s="104"/>
      <c r="L47" s="129">
        <f t="shared" si="7"/>
        <v>20000</v>
      </c>
      <c r="M47" s="38"/>
      <c r="N47" s="189" t="s">
        <v>159</v>
      </c>
      <c r="O47" s="49">
        <v>12000</v>
      </c>
      <c r="P47" s="49"/>
      <c r="Q47" s="131"/>
      <c r="R47" s="255">
        <f>SUM(O47:P47)</f>
        <v>12000</v>
      </c>
    </row>
    <row r="48" spans="1:18" ht="12.75">
      <c r="A48" s="47"/>
      <c r="B48" s="43" t="s">
        <v>18</v>
      </c>
      <c r="C48" s="103"/>
      <c r="D48" s="103"/>
      <c r="E48" s="105"/>
      <c r="F48" s="103">
        <f>100000/4</f>
        <v>25000</v>
      </c>
      <c r="G48" s="103">
        <f>75000-26000</f>
        <v>49000</v>
      </c>
      <c r="H48" s="105"/>
      <c r="I48" s="103"/>
      <c r="J48" s="171"/>
      <c r="K48" s="104"/>
      <c r="L48" s="129">
        <f t="shared" si="7"/>
        <v>74000</v>
      </c>
      <c r="M48" s="38"/>
      <c r="N48" s="193" t="s">
        <v>160</v>
      </c>
      <c r="O48" s="49"/>
      <c r="P48" s="49"/>
      <c r="Q48" s="131"/>
      <c r="R48" s="255"/>
    </row>
    <row r="49" spans="1:18" ht="12.75">
      <c r="A49" s="40" t="s">
        <v>19</v>
      </c>
      <c r="B49" s="48"/>
      <c r="C49" s="101">
        <f>5000-3000</f>
        <v>2000</v>
      </c>
      <c r="D49" s="101">
        <v>3000</v>
      </c>
      <c r="E49" s="101">
        <v>0</v>
      </c>
      <c r="F49" s="101">
        <v>0</v>
      </c>
      <c r="G49" s="101">
        <v>0</v>
      </c>
      <c r="H49" s="110">
        <v>0</v>
      </c>
      <c r="I49" s="101">
        <v>0</v>
      </c>
      <c r="J49" s="178">
        <v>0</v>
      </c>
      <c r="K49" s="106">
        <v>0</v>
      </c>
      <c r="L49" s="134">
        <f>SUM(C49:K49)</f>
        <v>5000</v>
      </c>
      <c r="M49" s="38"/>
      <c r="N49" s="189" t="s">
        <v>161</v>
      </c>
      <c r="O49" s="49">
        <v>25000</v>
      </c>
      <c r="P49" s="49">
        <v>5000</v>
      </c>
      <c r="Q49" s="131"/>
      <c r="R49" s="255">
        <f>SUM(O49:P49)</f>
        <v>30000</v>
      </c>
    </row>
    <row r="50" spans="1:18" ht="12.75">
      <c r="A50" s="40" t="s">
        <v>20</v>
      </c>
      <c r="B50" s="48"/>
      <c r="C50" s="101">
        <f aca="true" t="shared" si="9" ref="C50:J50">SUM(C51:C52)</f>
        <v>11250</v>
      </c>
      <c r="D50" s="101">
        <f t="shared" si="9"/>
        <v>30750</v>
      </c>
      <c r="E50" s="101">
        <f>SUM(E51:E52)</f>
        <v>10900</v>
      </c>
      <c r="F50" s="101">
        <f t="shared" si="9"/>
        <v>43250</v>
      </c>
      <c r="G50" s="101">
        <f t="shared" si="9"/>
        <v>146750</v>
      </c>
      <c r="H50" s="101">
        <f>SUM(H51:H52)</f>
        <v>8100</v>
      </c>
      <c r="I50" s="101">
        <f t="shared" si="9"/>
        <v>0</v>
      </c>
      <c r="J50" s="181">
        <f t="shared" si="9"/>
        <v>19000</v>
      </c>
      <c r="K50" s="110">
        <f>SUM(K51:K52)</f>
        <v>-19000</v>
      </c>
      <c r="L50" s="142">
        <f>SUM(C50:K50)</f>
        <v>251000</v>
      </c>
      <c r="M50" s="38"/>
      <c r="N50" s="189" t="s">
        <v>162</v>
      </c>
      <c r="O50" s="49">
        <v>81000</v>
      </c>
      <c r="P50" s="49"/>
      <c r="Q50" s="130"/>
      <c r="R50" s="255">
        <f>SUM(O50:P50)</f>
        <v>81000</v>
      </c>
    </row>
    <row r="51" spans="1:18" ht="12.75">
      <c r="A51" s="44"/>
      <c r="B51" s="59" t="s">
        <v>21</v>
      </c>
      <c r="C51" s="111">
        <v>6250</v>
      </c>
      <c r="D51" s="111">
        <f>3750+12000</f>
        <v>15750</v>
      </c>
      <c r="E51" s="143">
        <v>10900</v>
      </c>
      <c r="F51" s="111">
        <f>28750-10000</f>
        <v>18750</v>
      </c>
      <c r="G51" s="111">
        <f>(10000-5750)+69000</f>
        <v>73250</v>
      </c>
      <c r="H51" s="105">
        <v>8100</v>
      </c>
      <c r="I51" s="111"/>
      <c r="J51" s="173">
        <v>19000</v>
      </c>
      <c r="K51" s="112">
        <v>-19000</v>
      </c>
      <c r="L51" s="144">
        <f>SUM(C51:K51)</f>
        <v>133000</v>
      </c>
      <c r="M51" s="38"/>
      <c r="N51" s="189" t="s">
        <v>163</v>
      </c>
      <c r="O51" s="49">
        <v>130000</v>
      </c>
      <c r="P51" s="49"/>
      <c r="Q51" s="130"/>
      <c r="R51" s="255">
        <f>SUM(O51:P51)</f>
        <v>130000</v>
      </c>
    </row>
    <row r="52" spans="1:18" ht="12.75">
      <c r="A52" s="56"/>
      <c r="B52" s="43" t="s">
        <v>28</v>
      </c>
      <c r="C52" s="103">
        <f>20000/4</f>
        <v>5000</v>
      </c>
      <c r="D52" s="103">
        <f>20000-5000</f>
        <v>15000</v>
      </c>
      <c r="E52" s="105"/>
      <c r="F52" s="103">
        <f>98000/4</f>
        <v>24500</v>
      </c>
      <c r="G52" s="103">
        <f>98000-24500</f>
        <v>73500</v>
      </c>
      <c r="H52" s="105"/>
      <c r="I52" s="103"/>
      <c r="J52" s="171"/>
      <c r="K52" s="104"/>
      <c r="L52" s="129">
        <f>SUM(C52:J52)</f>
        <v>118000</v>
      </c>
      <c r="M52" s="38"/>
      <c r="N52" s="189"/>
      <c r="O52" s="49"/>
      <c r="P52" s="49"/>
      <c r="Q52" s="130"/>
      <c r="R52" s="255"/>
    </row>
    <row r="53" spans="1:19" ht="12.75">
      <c r="A53" s="40" t="s">
        <v>22</v>
      </c>
      <c r="B53" s="48"/>
      <c r="C53" s="101">
        <f>(82900+273374)*3/12</f>
        <v>89068.5</v>
      </c>
      <c r="D53" s="101">
        <v>654485</v>
      </c>
      <c r="E53" s="101">
        <v>0</v>
      </c>
      <c r="F53" s="101">
        <f>265550*3/12</f>
        <v>66387.5</v>
      </c>
      <c r="G53" s="101">
        <v>199162</v>
      </c>
      <c r="H53" s="110">
        <v>0</v>
      </c>
      <c r="I53" s="101">
        <f>15000*3/12</f>
        <v>3750</v>
      </c>
      <c r="J53" s="181">
        <v>13250</v>
      </c>
      <c r="K53" s="110">
        <v>0</v>
      </c>
      <c r="L53" s="142">
        <f>SUM(C53:K53)</f>
        <v>1026103</v>
      </c>
      <c r="M53" s="38"/>
      <c r="N53" s="192" t="s">
        <v>164</v>
      </c>
      <c r="O53" s="49">
        <v>9000</v>
      </c>
      <c r="P53" s="49"/>
      <c r="Q53" s="130"/>
      <c r="R53" s="255">
        <f>SUM(O53:P53)</f>
        <v>9000</v>
      </c>
      <c r="S53" s="65"/>
    </row>
    <row r="54" spans="1:19" ht="12.75">
      <c r="A54" s="168"/>
      <c r="B54" s="136"/>
      <c r="C54" s="220"/>
      <c r="D54" s="128"/>
      <c r="E54" s="128"/>
      <c r="F54" s="220"/>
      <c r="G54" s="220"/>
      <c r="H54" s="128"/>
      <c r="I54" s="220"/>
      <c r="J54" s="221"/>
      <c r="K54" s="222"/>
      <c r="L54" s="223"/>
      <c r="M54" s="38"/>
      <c r="N54" s="44"/>
      <c r="O54" s="46"/>
      <c r="P54" s="46"/>
      <c r="Q54" s="46"/>
      <c r="R54" s="258"/>
      <c r="S54" s="65"/>
    </row>
    <row r="55" spans="1:19" ht="12.75">
      <c r="A55" s="42"/>
      <c r="B55" s="231"/>
      <c r="C55" s="207"/>
      <c r="D55" s="232"/>
      <c r="E55" s="232"/>
      <c r="F55" s="207"/>
      <c r="G55" s="207"/>
      <c r="H55" s="232"/>
      <c r="I55" s="207"/>
      <c r="J55" s="233"/>
      <c r="K55" s="234"/>
      <c r="L55" s="235"/>
      <c r="M55" s="38"/>
      <c r="N55" s="192" t="s">
        <v>165</v>
      </c>
      <c r="O55" s="46"/>
      <c r="P55" s="45">
        <v>5000</v>
      </c>
      <c r="Q55" s="145"/>
      <c r="R55" s="257">
        <f>SUM(O55:P55)</f>
        <v>5000</v>
      </c>
      <c r="S55" s="65"/>
    </row>
    <row r="56" spans="1:19" ht="12.75">
      <c r="A56" s="42"/>
      <c r="B56" s="231"/>
      <c r="C56" s="207"/>
      <c r="D56" s="232"/>
      <c r="E56" s="232"/>
      <c r="F56" s="207"/>
      <c r="G56" s="207"/>
      <c r="H56" s="232"/>
      <c r="I56" s="207"/>
      <c r="J56" s="233"/>
      <c r="K56" s="234"/>
      <c r="L56" s="235"/>
      <c r="M56" s="38"/>
      <c r="N56" s="192" t="s">
        <v>169</v>
      </c>
      <c r="O56" s="46"/>
      <c r="P56" s="45">
        <v>144219</v>
      </c>
      <c r="Q56" s="135"/>
      <c r="R56" s="257">
        <f>SUM(O56:P56)</f>
        <v>144219</v>
      </c>
      <c r="S56" s="65"/>
    </row>
    <row r="57" spans="1:19" ht="12.75">
      <c r="A57" s="42"/>
      <c r="B57" s="231"/>
      <c r="C57" s="207"/>
      <c r="D57" s="232"/>
      <c r="E57" s="232"/>
      <c r="F57" s="207"/>
      <c r="G57" s="207"/>
      <c r="H57" s="232"/>
      <c r="I57" s="207"/>
      <c r="J57" s="233"/>
      <c r="K57" s="234"/>
      <c r="L57" s="235"/>
      <c r="M57" s="38"/>
      <c r="N57" s="195" t="s">
        <v>183</v>
      </c>
      <c r="O57" s="49"/>
      <c r="P57" s="49"/>
      <c r="Q57" s="130">
        <v>25000</v>
      </c>
      <c r="R57" s="133">
        <f>O57+P57+Q57</f>
        <v>25000</v>
      </c>
      <c r="S57" s="65"/>
    </row>
    <row r="58" spans="1:19" ht="12.75">
      <c r="A58" s="42"/>
      <c r="B58" s="231"/>
      <c r="C58" s="207"/>
      <c r="D58" s="232"/>
      <c r="E58" s="232"/>
      <c r="F58" s="207"/>
      <c r="G58" s="207"/>
      <c r="H58" s="232"/>
      <c r="I58" s="207"/>
      <c r="J58" s="233"/>
      <c r="K58" s="234"/>
      <c r="L58" s="235"/>
      <c r="M58" s="38"/>
      <c r="N58" s="195" t="s">
        <v>184</v>
      </c>
      <c r="O58" s="49"/>
      <c r="P58" s="49"/>
      <c r="Q58" s="130">
        <v>9000</v>
      </c>
      <c r="R58" s="133">
        <f>O58+P58+Q58</f>
        <v>9000</v>
      </c>
      <c r="S58" s="65"/>
    </row>
    <row r="59" spans="1:19" ht="12.75">
      <c r="A59" s="224"/>
      <c r="B59" s="225"/>
      <c r="C59" s="226"/>
      <c r="D59" s="227"/>
      <c r="E59" s="227"/>
      <c r="F59" s="226"/>
      <c r="G59" s="226"/>
      <c r="H59" s="227"/>
      <c r="I59" s="226"/>
      <c r="J59" s="228"/>
      <c r="K59" s="229"/>
      <c r="L59" s="230"/>
      <c r="M59" s="38"/>
      <c r="N59" s="47" t="s">
        <v>170</v>
      </c>
      <c r="O59" s="49"/>
      <c r="P59" s="49">
        <v>20000</v>
      </c>
      <c r="Q59" s="130"/>
      <c r="R59" s="257">
        <f>SUM(O59:P59)</f>
        <v>20000</v>
      </c>
      <c r="S59" s="65"/>
    </row>
    <row r="60" spans="1:19" ht="12.75">
      <c r="A60" s="297" t="s">
        <v>185</v>
      </c>
      <c r="B60" s="298"/>
      <c r="C60" s="298"/>
      <c r="D60" s="298"/>
      <c r="E60" s="298"/>
      <c r="F60" s="298"/>
      <c r="G60" s="298"/>
      <c r="H60" s="298"/>
      <c r="I60" s="298"/>
      <c r="J60" s="298"/>
      <c r="K60" s="299"/>
      <c r="L60" s="122">
        <f>E62+H62+K62</f>
        <v>3101050</v>
      </c>
      <c r="M60" s="38"/>
      <c r="N60" s="47" t="s">
        <v>171</v>
      </c>
      <c r="O60" s="49"/>
      <c r="P60" s="49">
        <v>75000</v>
      </c>
      <c r="Q60" s="130"/>
      <c r="R60" s="257">
        <f>SUM(O60:P60)</f>
        <v>75000</v>
      </c>
      <c r="S60" s="65"/>
    </row>
    <row r="61" spans="1:19" ht="12.75">
      <c r="A61" s="185"/>
      <c r="B61" s="186"/>
      <c r="C61" s="186"/>
      <c r="D61" s="186"/>
      <c r="E61" s="186"/>
      <c r="F61" s="186"/>
      <c r="G61" s="186"/>
      <c r="H61" s="186"/>
      <c r="I61" s="186"/>
      <c r="J61" s="186"/>
      <c r="K61" s="187"/>
      <c r="L61" s="169"/>
      <c r="M61" s="38"/>
      <c r="N61" s="47" t="s">
        <v>172</v>
      </c>
      <c r="O61" s="109"/>
      <c r="P61" s="109">
        <v>12500</v>
      </c>
      <c r="Q61" s="146"/>
      <c r="R61" s="259">
        <f>SUM(O61:P61)</f>
        <v>12500</v>
      </c>
      <c r="S61" s="65"/>
    </row>
    <row r="62" spans="1:18" ht="12.75">
      <c r="A62" s="61" t="s">
        <v>173</v>
      </c>
      <c r="B62" s="183"/>
      <c r="C62" s="115">
        <f>C53+C50+C49+C44+C36+C28+C23+C15</f>
        <v>765062.5</v>
      </c>
      <c r="D62" s="115">
        <f>D15+D23+D28+D36+D44+D49+D50+D53</f>
        <v>2278532</v>
      </c>
      <c r="E62" s="122">
        <f>E15+E23+E28+E36+E44+E49+E50+E53</f>
        <v>966950</v>
      </c>
      <c r="F62" s="115">
        <f>F53+F50+F49+F44+F36+F28+F23+F15</f>
        <v>594387.5</v>
      </c>
      <c r="G62" s="115">
        <f>G15+G23+G28+G36+G44+G49+G50+G53</f>
        <v>701462</v>
      </c>
      <c r="H62" s="122">
        <f>H15+H23+H28+H36+H44+H49+H50+H53</f>
        <v>153100</v>
      </c>
      <c r="I62" s="115">
        <f>I53+I50+I49+I44+I36+I28+I23+I15</f>
        <v>50750</v>
      </c>
      <c r="J62" s="182">
        <f>J15+J23+J28+J36+J44+J49+J50+J53</f>
        <v>177250</v>
      </c>
      <c r="K62" s="117">
        <f>K15+K23+K28+K36+K44+K49+K50+K53</f>
        <v>1981000</v>
      </c>
      <c r="L62" s="116">
        <f>L15+L23+L28+L36+L44++L49+L50+L53</f>
        <v>7668494</v>
      </c>
      <c r="M62" s="38"/>
      <c r="N62" s="62" t="s">
        <v>133</v>
      </c>
      <c r="O62" s="115">
        <f>SUM(O15:O61)</f>
        <v>1410200</v>
      </c>
      <c r="P62" s="208">
        <f>SUM(P15:P61)</f>
        <v>3157244</v>
      </c>
      <c r="Q62" s="122">
        <f>SUM(Q15:Q61)</f>
        <v>3101050</v>
      </c>
      <c r="R62" s="123">
        <f>SUM(R15:R61)</f>
        <v>7668494</v>
      </c>
    </row>
    <row r="63" spans="1:18" ht="15">
      <c r="A63" s="93" t="s">
        <v>34</v>
      </c>
      <c r="B63" s="94"/>
      <c r="C63" s="95">
        <v>1053657.33</v>
      </c>
      <c r="D63" s="96"/>
      <c r="E63" s="96"/>
      <c r="I63" s="66"/>
      <c r="J63" s="66"/>
      <c r="K63" s="66"/>
      <c r="N63" s="82"/>
      <c r="O63" s="92"/>
      <c r="P63" s="91"/>
      <c r="Q63" s="91"/>
      <c r="R63" s="91"/>
    </row>
    <row r="64" spans="12:18" ht="12.75">
      <c r="L64" s="66"/>
      <c r="N64" s="82"/>
      <c r="O64" s="82"/>
      <c r="P64" s="82"/>
      <c r="Q64" s="82"/>
      <c r="R64" s="120"/>
    </row>
    <row r="65" spans="2:18" ht="15.75">
      <c r="B65" s="196"/>
      <c r="C65" s="196"/>
      <c r="D65" s="197"/>
      <c r="H65" s="66"/>
      <c r="N65" s="164"/>
      <c r="O65" s="165"/>
      <c r="P65" s="120"/>
      <c r="Q65" s="120"/>
      <c r="R65" s="82"/>
    </row>
    <row r="66" spans="2:18" ht="15">
      <c r="B66" s="198"/>
      <c r="C66" s="199"/>
      <c r="D66" s="197"/>
      <c r="H66" s="66"/>
      <c r="N66" s="164"/>
      <c r="O66" s="165"/>
      <c r="P66" s="120"/>
      <c r="Q66" s="120"/>
      <c r="R66" s="82"/>
    </row>
    <row r="67" spans="2:18" ht="15">
      <c r="B67" s="200"/>
      <c r="C67" s="197"/>
      <c r="D67" s="197"/>
      <c r="H67" s="66"/>
      <c r="L67" s="66"/>
      <c r="N67" s="184"/>
      <c r="O67" s="165"/>
      <c r="P67" s="82"/>
      <c r="Q67" s="82"/>
      <c r="R67" s="82"/>
    </row>
    <row r="68" spans="2:18" ht="15">
      <c r="B68" s="200"/>
      <c r="C68" s="197"/>
      <c r="D68" s="197"/>
      <c r="N68" s="147"/>
      <c r="O68" s="120"/>
      <c r="P68" s="166"/>
      <c r="Q68" s="166"/>
      <c r="R68" s="167"/>
    </row>
    <row r="69" spans="2:18" ht="15">
      <c r="B69" s="201"/>
      <c r="C69" s="197"/>
      <c r="D69" s="197"/>
      <c r="N69" s="82"/>
      <c r="O69" s="120"/>
      <c r="P69" s="166"/>
      <c r="Q69" s="166"/>
      <c r="R69" s="167"/>
    </row>
    <row r="70" spans="2:4" ht="15">
      <c r="B70" s="201"/>
      <c r="C70" s="197"/>
      <c r="D70" s="197"/>
    </row>
    <row r="71" spans="2:4" ht="15">
      <c r="B71" s="201"/>
      <c r="C71" s="199"/>
      <c r="D71" s="198"/>
    </row>
    <row r="72" spans="2:4" ht="15">
      <c r="B72" s="201"/>
      <c r="C72" s="199"/>
      <c r="D72" s="198"/>
    </row>
    <row r="73" spans="2:4" ht="15">
      <c r="B73" s="201"/>
      <c r="C73" s="199"/>
      <c r="D73" s="198"/>
    </row>
    <row r="74" spans="2:4" ht="15">
      <c r="B74" s="201"/>
      <c r="C74" s="202"/>
      <c r="D74" s="198"/>
    </row>
    <row r="75" spans="2:4" ht="15">
      <c r="B75" s="200"/>
      <c r="C75" s="197"/>
      <c r="D75" s="197"/>
    </row>
    <row r="76" spans="2:4" ht="15.75">
      <c r="B76" s="200"/>
      <c r="C76" s="196"/>
      <c r="D76" s="197"/>
    </row>
    <row r="77" spans="2:4" ht="15">
      <c r="B77" s="200"/>
      <c r="C77" s="199"/>
      <c r="D77" s="197"/>
    </row>
    <row r="78" spans="2:4" ht="15">
      <c r="B78" s="200"/>
      <c r="C78" s="197"/>
      <c r="D78" s="197"/>
    </row>
    <row r="79" spans="2:4" ht="15">
      <c r="B79" s="200"/>
      <c r="C79" s="197"/>
      <c r="D79" s="197"/>
    </row>
    <row r="80" spans="2:4" ht="15">
      <c r="B80" s="200"/>
      <c r="C80" s="197"/>
      <c r="D80" s="197"/>
    </row>
    <row r="81" spans="2:4" ht="15">
      <c r="B81" s="200"/>
      <c r="C81" s="197"/>
      <c r="D81" s="197"/>
    </row>
    <row r="82" spans="2:4" ht="15">
      <c r="B82" s="200"/>
      <c r="C82" s="199"/>
      <c r="D82" s="197"/>
    </row>
    <row r="83" spans="2:4" ht="15">
      <c r="B83" s="200"/>
      <c r="C83" s="197"/>
      <c r="D83" s="197"/>
    </row>
    <row r="84" spans="2:4" ht="15">
      <c r="B84" s="200"/>
      <c r="C84" s="197"/>
      <c r="D84" s="197"/>
    </row>
    <row r="85" spans="2:4" ht="15">
      <c r="B85" s="200"/>
      <c r="C85" s="197"/>
      <c r="D85" s="197"/>
    </row>
    <row r="86" spans="2:4" ht="15">
      <c r="B86" s="200"/>
      <c r="C86" s="197"/>
      <c r="D86" s="197"/>
    </row>
    <row r="87" spans="2:4" ht="15">
      <c r="B87" s="200"/>
      <c r="C87" s="197"/>
      <c r="D87" s="197"/>
    </row>
    <row r="88" spans="2:4" ht="15">
      <c r="B88" s="200"/>
      <c r="C88" s="197"/>
      <c r="D88" s="197"/>
    </row>
  </sheetData>
  <mergeCells count="12">
    <mergeCell ref="A28:B28"/>
    <mergeCell ref="A60:K60"/>
    <mergeCell ref="A36:B36"/>
    <mergeCell ref="C12:L12"/>
    <mergeCell ref="A15:B15"/>
    <mergeCell ref="A23:B23"/>
    <mergeCell ref="N12:N14"/>
    <mergeCell ref="O12:R13"/>
    <mergeCell ref="L13:L14"/>
    <mergeCell ref="C13:E13"/>
    <mergeCell ref="F13:H13"/>
    <mergeCell ref="I13:K13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scale="57" r:id="rId4"/>
  <rowBreaks count="1" manualBreakCount="1">
    <brk id="63" max="16383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75"/>
  <sheetViews>
    <sheetView workbookViewId="0" topLeftCell="A13">
      <selection activeCell="H20" sqref="H20"/>
    </sheetView>
  </sheetViews>
  <sheetFormatPr defaultColWidth="11.421875" defaultRowHeight="15" customHeight="1"/>
  <cols>
    <col min="1" max="1" width="10.00390625" style="0" customWidth="1"/>
    <col min="2" max="2" width="36.57421875" style="0" customWidth="1"/>
    <col min="3" max="3" width="15.28125" style="0" customWidth="1"/>
    <col min="4" max="4" width="11.00390625" style="0" customWidth="1"/>
    <col min="5" max="5" width="36.140625" style="0" customWidth="1"/>
    <col min="6" max="6" width="14.28125" style="1" customWidth="1"/>
  </cols>
  <sheetData>
    <row r="3" ht="15" customHeight="1">
      <c r="C3" s="28"/>
    </row>
    <row r="8" ht="15" customHeight="1">
      <c r="A8" s="253" t="s">
        <v>67</v>
      </c>
    </row>
    <row r="10" spans="1:6" ht="18">
      <c r="A10" s="303" t="s">
        <v>187</v>
      </c>
      <c r="B10" s="303"/>
      <c r="C10" s="303"/>
      <c r="D10" s="303"/>
      <c r="E10" s="303"/>
      <c r="F10" s="303"/>
    </row>
    <row r="11" spans="1:6" ht="18">
      <c r="A11" s="3"/>
      <c r="B11" s="3"/>
      <c r="C11" s="3"/>
      <c r="D11" s="3"/>
      <c r="E11" s="3"/>
      <c r="F11" s="3"/>
    </row>
    <row r="12" spans="1:6" ht="18">
      <c r="A12" s="3"/>
      <c r="B12" s="3"/>
      <c r="C12" s="3"/>
      <c r="D12" s="3"/>
      <c r="E12" s="3"/>
      <c r="F12" s="3"/>
    </row>
    <row r="13" spans="1:5" ht="15" customHeight="1">
      <c r="A13" s="3"/>
      <c r="B13" s="3"/>
      <c r="C13" s="3"/>
      <c r="D13" s="3"/>
      <c r="E13" s="3"/>
    </row>
    <row r="14" spans="1:6" ht="15" customHeight="1">
      <c r="A14" s="304" t="s">
        <v>63</v>
      </c>
      <c r="B14" s="304"/>
      <c r="C14" s="304"/>
      <c r="D14" s="304"/>
      <c r="E14" s="304"/>
      <c r="F14" s="304"/>
    </row>
    <row r="15" spans="1:6" ht="15" customHeight="1">
      <c r="A15" s="11"/>
      <c r="B15" s="11"/>
      <c r="C15" s="11"/>
      <c r="D15" s="11"/>
      <c r="E15" s="11"/>
      <c r="F15" s="11"/>
    </row>
    <row r="16" spans="1:6" ht="15" customHeight="1">
      <c r="A16" s="11"/>
      <c r="B16" s="11"/>
      <c r="C16" s="11"/>
      <c r="D16" s="11"/>
      <c r="E16" s="11"/>
      <c r="F16" s="11"/>
    </row>
    <row r="17" s="2" customFormat="1" ht="15" customHeight="1">
      <c r="F17" s="13"/>
    </row>
    <row r="18" spans="1:6" s="4" customFormat="1" ht="30" customHeight="1">
      <c r="A18" s="161">
        <v>20</v>
      </c>
      <c r="B18" s="6" t="s">
        <v>48</v>
      </c>
      <c r="C18" s="7"/>
      <c r="D18" s="160">
        <v>706</v>
      </c>
      <c r="E18" s="7" t="s">
        <v>45</v>
      </c>
      <c r="F18" s="31">
        <v>-70667</v>
      </c>
    </row>
    <row r="19" spans="1:6" s="4" customFormat="1" ht="30" customHeight="1">
      <c r="A19" s="161">
        <v>21</v>
      </c>
      <c r="B19" s="6" t="s">
        <v>49</v>
      </c>
      <c r="C19" s="7">
        <v>1981000</v>
      </c>
      <c r="D19" s="160">
        <v>741</v>
      </c>
      <c r="E19" s="7" t="s">
        <v>126</v>
      </c>
      <c r="F19" s="31">
        <v>2565000</v>
      </c>
    </row>
    <row r="20" spans="1:6" s="4" customFormat="1" ht="30" customHeight="1">
      <c r="A20" s="161">
        <v>26</v>
      </c>
      <c r="B20" s="6" t="s">
        <v>166</v>
      </c>
      <c r="C20" s="7"/>
      <c r="D20" s="160">
        <v>744</v>
      </c>
      <c r="E20" s="7" t="s">
        <v>65</v>
      </c>
      <c r="F20" s="31">
        <v>-29667</v>
      </c>
    </row>
    <row r="21" spans="1:6" s="4" customFormat="1" ht="30" customHeight="1">
      <c r="A21" s="161">
        <v>60</v>
      </c>
      <c r="B21" s="6" t="s">
        <v>38</v>
      </c>
      <c r="C21" s="7"/>
      <c r="D21" s="278">
        <v>744</v>
      </c>
      <c r="E21" s="277" t="s">
        <v>199</v>
      </c>
      <c r="F21" s="7">
        <v>492500</v>
      </c>
    </row>
    <row r="22" spans="1:6" s="4" customFormat="1" ht="30" customHeight="1">
      <c r="A22" s="161">
        <v>61</v>
      </c>
      <c r="B22" s="6" t="s">
        <v>39</v>
      </c>
      <c r="C22" s="7">
        <v>43300</v>
      </c>
      <c r="D22" s="161"/>
      <c r="E22" s="6"/>
      <c r="F22" s="31"/>
    </row>
    <row r="23" spans="1:6" s="4" customFormat="1" ht="30" customHeight="1">
      <c r="A23" s="161">
        <v>62</v>
      </c>
      <c r="B23" s="6" t="s">
        <v>40</v>
      </c>
      <c r="C23" s="7">
        <f>11150+392500</f>
        <v>403650</v>
      </c>
      <c r="D23" s="161">
        <v>748</v>
      </c>
      <c r="E23" s="6" t="s">
        <v>196</v>
      </c>
      <c r="F23" s="31">
        <v>24000</v>
      </c>
    </row>
    <row r="24" spans="1:6" s="4" customFormat="1" ht="30" customHeight="1">
      <c r="A24" s="161">
        <v>63</v>
      </c>
      <c r="B24" s="6" t="s">
        <v>41</v>
      </c>
      <c r="C24" s="7">
        <v>12092</v>
      </c>
      <c r="D24" s="161">
        <v>748</v>
      </c>
      <c r="E24" s="6" t="s">
        <v>198</v>
      </c>
      <c r="F24" s="31">
        <v>25000</v>
      </c>
    </row>
    <row r="25" spans="1:6" s="4" customFormat="1" ht="30" customHeight="1">
      <c r="A25" s="161">
        <v>64</v>
      </c>
      <c r="B25" s="6" t="s">
        <v>42</v>
      </c>
      <c r="C25" s="7">
        <v>141008</v>
      </c>
      <c r="D25" s="161">
        <v>748</v>
      </c>
      <c r="E25" s="6" t="s">
        <v>197</v>
      </c>
      <c r="F25" s="31">
        <v>9000</v>
      </c>
    </row>
    <row r="26" spans="1:6" s="4" customFormat="1" ht="30" customHeight="1">
      <c r="A26" s="161">
        <v>65</v>
      </c>
      <c r="B26" s="6" t="s">
        <v>43</v>
      </c>
      <c r="C26" s="7">
        <v>520000</v>
      </c>
      <c r="D26" s="12"/>
      <c r="E26" s="162" t="s">
        <v>177</v>
      </c>
      <c r="F26" s="31">
        <v>42584</v>
      </c>
    </row>
    <row r="27" spans="1:6" s="4" customFormat="1" ht="30" customHeight="1">
      <c r="A27" s="161">
        <v>67</v>
      </c>
      <c r="B27" s="6" t="s">
        <v>44</v>
      </c>
      <c r="C27" s="7"/>
      <c r="D27" s="12"/>
      <c r="E27" s="162" t="s">
        <v>189</v>
      </c>
      <c r="F27" s="31">
        <v>43300</v>
      </c>
    </row>
    <row r="28" spans="1:6" s="4" customFormat="1" ht="30" customHeight="1">
      <c r="A28" s="161">
        <v>68</v>
      </c>
      <c r="B28" s="6" t="s">
        <v>47</v>
      </c>
      <c r="C28" s="7"/>
      <c r="D28" s="12"/>
      <c r="E28" s="7"/>
      <c r="F28" s="14"/>
    </row>
    <row r="29" spans="1:6" s="4" customFormat="1" ht="30" customHeight="1">
      <c r="A29" s="15"/>
      <c r="B29" s="16" t="s">
        <v>46</v>
      </c>
      <c r="C29" s="17">
        <f>SUM(C18:C28)</f>
        <v>3101050</v>
      </c>
      <c r="D29" s="17"/>
      <c r="E29" s="17" t="s">
        <v>46</v>
      </c>
      <c r="F29" s="17">
        <f>SUM(F18:F27)</f>
        <v>3101050</v>
      </c>
    </row>
    <row r="30" spans="1:6" s="4" customFormat="1" ht="30" customHeight="1">
      <c r="A30" s="18"/>
      <c r="B30" s="19"/>
      <c r="C30" s="20"/>
      <c r="D30" s="20"/>
      <c r="E30" s="20"/>
      <c r="F30" s="21"/>
    </row>
    <row r="31" spans="1:6" s="4" customFormat="1" ht="30" customHeight="1">
      <c r="A31" s="18"/>
      <c r="B31" s="19"/>
      <c r="C31" s="20"/>
      <c r="D31" s="20"/>
      <c r="E31" s="20"/>
      <c r="F31" s="21"/>
    </row>
    <row r="32" spans="3:5" ht="15" customHeight="1">
      <c r="C32" s="1"/>
      <c r="D32" s="1"/>
      <c r="E32" s="1"/>
    </row>
    <row r="72" ht="15" customHeight="1">
      <c r="A72" s="22"/>
    </row>
    <row r="73" ht="15" customHeight="1">
      <c r="A73" s="22"/>
    </row>
    <row r="74" ht="15" customHeight="1">
      <c r="A74" s="22"/>
    </row>
    <row r="75" ht="15" customHeight="1">
      <c r="A75" s="22"/>
    </row>
  </sheetData>
  <mergeCells count="2">
    <mergeCell ref="A10:F10"/>
    <mergeCell ref="A14:F14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88"/>
  <sheetViews>
    <sheetView workbookViewId="0" topLeftCell="A46">
      <selection activeCell="K81" sqref="K81"/>
    </sheetView>
  </sheetViews>
  <sheetFormatPr defaultColWidth="11.421875" defaultRowHeight="12.75"/>
  <cols>
    <col min="1" max="1" width="7.28125" style="79" customWidth="1"/>
    <col min="2" max="2" width="31.28125" style="0" bestFit="1" customWidth="1"/>
    <col min="3" max="6" width="9.140625" style="0" bestFit="1" customWidth="1"/>
    <col min="7" max="7" width="9.140625" style="0" customWidth="1"/>
    <col min="8" max="8" width="27.00390625" style="0" customWidth="1"/>
    <col min="9" max="9" width="9.140625" style="1" bestFit="1" customWidth="1"/>
    <col min="10" max="11" width="9.140625" style="0" bestFit="1" customWidth="1"/>
    <col min="12" max="12" width="11.8515625" style="0" customWidth="1"/>
    <col min="13" max="13" width="14.8515625" style="0" customWidth="1"/>
  </cols>
  <sheetData>
    <row r="1" ht="12.75"/>
    <row r="3" spans="3:6" ht="12.75">
      <c r="C3" s="34"/>
      <c r="D3" s="34"/>
      <c r="E3" s="34"/>
      <c r="F3" s="34"/>
    </row>
    <row r="7" spans="1:12" ht="15.75">
      <c r="A7" s="311" t="s">
        <v>187</v>
      </c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</row>
    <row r="8" spans="1:9" ht="15.75">
      <c r="A8" s="254" t="s">
        <v>67</v>
      </c>
      <c r="B8" s="23"/>
      <c r="C8" s="23"/>
      <c r="D8" s="23"/>
      <c r="E8" s="23"/>
      <c r="F8" s="23"/>
      <c r="G8" s="23"/>
      <c r="H8" s="23"/>
      <c r="I8" s="23"/>
    </row>
    <row r="9" spans="1:12" ht="12.75">
      <c r="A9" s="310" t="s">
        <v>37</v>
      </c>
      <c r="B9" s="310"/>
      <c r="C9" s="310"/>
      <c r="D9" s="310"/>
      <c r="E9" s="310"/>
      <c r="F9" s="310"/>
      <c r="G9" s="310"/>
      <c r="H9" s="310"/>
      <c r="I9" s="310"/>
      <c r="J9" s="310"/>
      <c r="K9" s="310"/>
      <c r="L9" s="310"/>
    </row>
    <row r="10" spans="1:9" ht="12.75">
      <c r="A10" s="70" t="s">
        <v>80</v>
      </c>
      <c r="B10" s="11"/>
      <c r="C10" s="11"/>
      <c r="D10" s="11"/>
      <c r="E10" s="11"/>
      <c r="F10" s="11"/>
      <c r="G10" s="11"/>
      <c r="H10" s="11"/>
      <c r="I10" s="11"/>
    </row>
    <row r="11" spans="1:9" ht="12.75">
      <c r="A11" s="70"/>
      <c r="B11" s="11"/>
      <c r="C11" s="11"/>
      <c r="D11" s="11"/>
      <c r="E11" s="11"/>
      <c r="F11" s="11"/>
      <c r="G11" s="11"/>
      <c r="H11" s="11"/>
      <c r="I11" s="11"/>
    </row>
    <row r="12" spans="1:12" ht="12.75">
      <c r="A12" s="306" t="s">
        <v>1</v>
      </c>
      <c r="B12" s="307"/>
      <c r="C12" s="307"/>
      <c r="D12" s="307"/>
      <c r="E12" s="307"/>
      <c r="F12" s="308"/>
      <c r="G12" s="307" t="s">
        <v>2</v>
      </c>
      <c r="H12" s="307"/>
      <c r="I12" s="307"/>
      <c r="J12" s="307"/>
      <c r="K12" s="307"/>
      <c r="L12" s="309"/>
    </row>
    <row r="13" spans="1:12" ht="12.75">
      <c r="A13" s="218"/>
      <c r="B13" s="218"/>
      <c r="C13" s="218" t="s">
        <v>134</v>
      </c>
      <c r="D13" s="218" t="s">
        <v>135</v>
      </c>
      <c r="E13" s="218" t="s">
        <v>180</v>
      </c>
      <c r="F13" s="244" t="s">
        <v>46</v>
      </c>
      <c r="G13" s="217"/>
      <c r="H13" s="61"/>
      <c r="I13" s="218" t="s">
        <v>134</v>
      </c>
      <c r="J13" s="218" t="s">
        <v>135</v>
      </c>
      <c r="K13" s="218" t="s">
        <v>180</v>
      </c>
      <c r="L13" s="252" t="s">
        <v>46</v>
      </c>
    </row>
    <row r="14" spans="1:12" ht="12.75">
      <c r="A14" s="71">
        <v>60</v>
      </c>
      <c r="B14" s="72" t="s">
        <v>81</v>
      </c>
      <c r="C14" s="72"/>
      <c r="D14" s="72"/>
      <c r="E14" s="163"/>
      <c r="F14" s="245"/>
      <c r="G14" s="83">
        <v>70</v>
      </c>
      <c r="H14" s="73" t="s">
        <v>82</v>
      </c>
      <c r="I14" s="74"/>
      <c r="J14" s="149"/>
      <c r="K14" s="149"/>
      <c r="L14" s="239"/>
    </row>
    <row r="15" spans="1:12" ht="12.75">
      <c r="A15" s="75">
        <v>6061</v>
      </c>
      <c r="B15" s="64" t="s">
        <v>83</v>
      </c>
      <c r="C15" s="25">
        <v>1000</v>
      </c>
      <c r="D15" s="25">
        <v>2000</v>
      </c>
      <c r="E15" s="99"/>
      <c r="F15" s="246">
        <f>C15+D15</f>
        <v>3000</v>
      </c>
      <c r="G15" s="80">
        <v>706</v>
      </c>
      <c r="H15" s="150" t="s">
        <v>84</v>
      </c>
      <c r="I15" s="25">
        <f>38000+9000+30000</f>
        <v>77000</v>
      </c>
      <c r="J15" s="25">
        <f>111000+95000+91500+70281+5000</f>
        <v>372781</v>
      </c>
      <c r="K15" s="274">
        <f>-41000+-29667</f>
        <v>-70667</v>
      </c>
      <c r="L15" s="25">
        <f>SUM(I15:K15)</f>
        <v>379114</v>
      </c>
    </row>
    <row r="16" spans="1:12" ht="12.75">
      <c r="A16" s="75">
        <v>6063</v>
      </c>
      <c r="B16" s="64" t="s">
        <v>85</v>
      </c>
      <c r="C16" s="25">
        <f>60000/3</f>
        <v>20000</v>
      </c>
      <c r="D16" s="25">
        <v>40000</v>
      </c>
      <c r="E16" s="99"/>
      <c r="F16" s="246">
        <f>C16+D16</f>
        <v>60000</v>
      </c>
      <c r="I16" s="151"/>
      <c r="J16" s="100"/>
      <c r="K16" s="275"/>
      <c r="L16" s="24"/>
    </row>
    <row r="17" spans="1:12" ht="12.75">
      <c r="A17" s="75">
        <v>6064</v>
      </c>
      <c r="B17" s="64" t="s">
        <v>86</v>
      </c>
      <c r="C17" s="25">
        <v>21000</v>
      </c>
      <c r="D17" s="25">
        <v>40000</v>
      </c>
      <c r="E17" s="99"/>
      <c r="F17" s="246">
        <f>C17+D17</f>
        <v>61000</v>
      </c>
      <c r="G17" s="153">
        <v>74</v>
      </c>
      <c r="H17" s="152" t="s">
        <v>87</v>
      </c>
      <c r="I17" s="77"/>
      <c r="J17" s="149"/>
      <c r="K17" s="276"/>
      <c r="L17" s="239"/>
    </row>
    <row r="18" spans="1:12" ht="12.75">
      <c r="A18" s="75">
        <v>6068</v>
      </c>
      <c r="B18" s="64" t="s">
        <v>88</v>
      </c>
      <c r="C18" s="25">
        <v>262</v>
      </c>
      <c r="D18" s="25">
        <v>532</v>
      </c>
      <c r="E18" s="99"/>
      <c r="F18" s="246">
        <f>C18+D18</f>
        <v>794</v>
      </c>
      <c r="G18" s="80">
        <v>741</v>
      </c>
      <c r="H18" s="150" t="s">
        <v>35</v>
      </c>
      <c r="I18" s="25">
        <f>236000+12000</f>
        <v>248000</v>
      </c>
      <c r="J18" s="25">
        <f>5000+144219</f>
        <v>149219</v>
      </c>
      <c r="K18" s="274">
        <v>2565000</v>
      </c>
      <c r="L18" s="25">
        <f>SUM(I18:K18)</f>
        <v>2962219</v>
      </c>
    </row>
    <row r="19" spans="1:12" ht="12.75">
      <c r="A19" s="75"/>
      <c r="B19" s="24"/>
      <c r="C19" s="25"/>
      <c r="D19" s="25"/>
      <c r="E19" s="99"/>
      <c r="F19" s="246"/>
      <c r="G19" s="80">
        <v>744</v>
      </c>
      <c r="H19" s="150" t="s">
        <v>65</v>
      </c>
      <c r="I19" s="25">
        <f>675200+20000</f>
        <v>695200</v>
      </c>
      <c r="J19" s="25">
        <f>140000+50000+100000+20000+120000+95000+125000+7800</f>
        <v>657800</v>
      </c>
      <c r="K19" s="274">
        <v>-29667</v>
      </c>
      <c r="L19" s="25">
        <f aca="true" t="shared" si="0" ref="L19:L21">SUM(I19:K19)</f>
        <v>1323333</v>
      </c>
    </row>
    <row r="20" spans="1:12" ht="12.75">
      <c r="A20" s="75"/>
      <c r="B20" s="24"/>
      <c r="C20" s="25"/>
      <c r="D20" s="25"/>
      <c r="E20" s="99"/>
      <c r="F20" s="246"/>
      <c r="G20" s="263">
        <v>744</v>
      </c>
      <c r="H20" s="150" t="s">
        <v>193</v>
      </c>
      <c r="I20" s="25"/>
      <c r="J20" s="25"/>
      <c r="K20" s="274">
        <v>492500</v>
      </c>
      <c r="L20" s="25">
        <f>K20+J20+I20</f>
        <v>492500</v>
      </c>
    </row>
    <row r="21" spans="1:12" ht="12.75">
      <c r="A21" s="71">
        <v>61</v>
      </c>
      <c r="B21" s="76" t="s">
        <v>89</v>
      </c>
      <c r="C21" s="77"/>
      <c r="D21" s="77"/>
      <c r="E21" s="211"/>
      <c r="F21" s="247"/>
      <c r="G21" s="80">
        <v>7448</v>
      </c>
      <c r="H21" s="43" t="s">
        <v>90</v>
      </c>
      <c r="I21" s="25">
        <v>390000</v>
      </c>
      <c r="J21" s="25">
        <v>40000</v>
      </c>
      <c r="K21" s="274"/>
      <c r="L21" s="25">
        <f t="shared" si="0"/>
        <v>430000</v>
      </c>
    </row>
    <row r="22" spans="1:12" ht="12.75">
      <c r="A22" s="75">
        <v>6122</v>
      </c>
      <c r="B22" s="64" t="s">
        <v>91</v>
      </c>
      <c r="C22" s="25">
        <f>18000/3</f>
        <v>6000</v>
      </c>
      <c r="D22" s="25">
        <v>14000</v>
      </c>
      <c r="E22" s="99"/>
      <c r="F22" s="270">
        <f aca="true" t="shared" si="1" ref="F22:F27">C22+D22</f>
        <v>20000</v>
      </c>
      <c r="G22" s="271">
        <v>748</v>
      </c>
      <c r="H22" s="265" t="s">
        <v>192</v>
      </c>
      <c r="I22" s="25"/>
      <c r="J22" s="25"/>
      <c r="K22" s="274">
        <v>24000</v>
      </c>
      <c r="L22" s="25">
        <f>K22+J22+I22</f>
        <v>24000</v>
      </c>
    </row>
    <row r="23" spans="1:12" ht="12.75">
      <c r="A23" s="75">
        <v>6125</v>
      </c>
      <c r="B23" s="64" t="s">
        <v>92</v>
      </c>
      <c r="C23" s="25">
        <v>500</v>
      </c>
      <c r="D23" s="25">
        <v>4500</v>
      </c>
      <c r="E23" s="99"/>
      <c r="F23" s="270">
        <f t="shared" si="1"/>
        <v>5000</v>
      </c>
      <c r="G23" s="273">
        <v>748</v>
      </c>
      <c r="H23" s="265" t="s">
        <v>194</v>
      </c>
      <c r="I23" s="25"/>
      <c r="J23" s="25"/>
      <c r="K23" s="274">
        <v>25000</v>
      </c>
      <c r="L23" s="25">
        <f>K23+J23+I23</f>
        <v>25000</v>
      </c>
    </row>
    <row r="24" spans="1:12" ht="12.75">
      <c r="A24" s="75">
        <v>613</v>
      </c>
      <c r="B24" s="64" t="s">
        <v>93</v>
      </c>
      <c r="C24" s="25">
        <f>15000/3</f>
        <v>5000</v>
      </c>
      <c r="D24" s="25">
        <v>10000</v>
      </c>
      <c r="E24" s="99"/>
      <c r="F24" s="270">
        <f t="shared" si="1"/>
        <v>15000</v>
      </c>
      <c r="G24" s="271">
        <v>748</v>
      </c>
      <c r="H24" s="24" t="s">
        <v>195</v>
      </c>
      <c r="I24" s="25"/>
      <c r="J24" s="25"/>
      <c r="K24" s="274">
        <v>9000</v>
      </c>
      <c r="L24" s="25">
        <f>K24+J24+I24</f>
        <v>9000</v>
      </c>
    </row>
    <row r="25" spans="1:12" ht="12.75">
      <c r="A25" s="75">
        <v>614</v>
      </c>
      <c r="B25" s="64" t="s">
        <v>94</v>
      </c>
      <c r="C25" s="25">
        <v>12000</v>
      </c>
      <c r="D25" s="25">
        <v>18000</v>
      </c>
      <c r="E25" s="99"/>
      <c r="F25" s="246">
        <f t="shared" si="1"/>
        <v>30000</v>
      </c>
      <c r="G25" s="153">
        <v>75</v>
      </c>
      <c r="H25" s="154" t="s">
        <v>174</v>
      </c>
      <c r="I25" s="155"/>
      <c r="J25" s="156">
        <v>12500</v>
      </c>
      <c r="K25" s="156"/>
      <c r="L25" s="240">
        <f>SUM(I25:K25)</f>
        <v>12500</v>
      </c>
    </row>
    <row r="26" spans="1:12" ht="12.75">
      <c r="A26" s="75">
        <v>6156</v>
      </c>
      <c r="B26" s="64" t="s">
        <v>95</v>
      </c>
      <c r="C26" s="25">
        <f>30000/3</f>
        <v>10000</v>
      </c>
      <c r="D26" s="25">
        <v>30000</v>
      </c>
      <c r="E26" s="99"/>
      <c r="F26" s="246">
        <f t="shared" si="1"/>
        <v>40000</v>
      </c>
      <c r="G26" s="153">
        <v>76</v>
      </c>
      <c r="H26" s="157" t="s">
        <v>175</v>
      </c>
      <c r="I26" s="155"/>
      <c r="J26" s="156">
        <v>20000</v>
      </c>
      <c r="K26" s="156"/>
      <c r="L26" s="240">
        <f aca="true" t="shared" si="2" ref="L26:L27">SUM(I26:K26)</f>
        <v>20000</v>
      </c>
    </row>
    <row r="27" spans="1:12" ht="12.75">
      <c r="A27" s="75">
        <v>616</v>
      </c>
      <c r="B27" s="64" t="s">
        <v>96</v>
      </c>
      <c r="C27" s="25">
        <v>8000</v>
      </c>
      <c r="D27" s="25">
        <v>20000</v>
      </c>
      <c r="E27" s="99"/>
      <c r="F27" s="246">
        <f t="shared" si="1"/>
        <v>28000</v>
      </c>
      <c r="G27" s="153">
        <v>77</v>
      </c>
      <c r="H27" s="157" t="s">
        <v>176</v>
      </c>
      <c r="I27" s="149"/>
      <c r="J27" s="149">
        <v>75000</v>
      </c>
      <c r="K27" s="149"/>
      <c r="L27" s="240">
        <f t="shared" si="2"/>
        <v>75000</v>
      </c>
    </row>
    <row r="28" spans="1:12" ht="12.75">
      <c r="A28" s="75">
        <v>617</v>
      </c>
      <c r="B28" s="64" t="s">
        <v>97</v>
      </c>
      <c r="C28" s="25">
        <f>(400000-43300)/1.5</f>
        <v>237800</v>
      </c>
      <c r="D28" s="25">
        <v>100000</v>
      </c>
      <c r="E28" s="99">
        <v>43300</v>
      </c>
      <c r="F28" s="246">
        <f>C28+D28+E28</f>
        <v>381100</v>
      </c>
      <c r="G28" s="27"/>
      <c r="H28" s="272"/>
      <c r="I28" s="100"/>
      <c r="J28" s="100"/>
      <c r="K28" s="100"/>
      <c r="L28" s="237"/>
    </row>
    <row r="29" spans="1:12" ht="12.75">
      <c r="A29" s="75">
        <v>6181</v>
      </c>
      <c r="B29" s="64" t="s">
        <v>98</v>
      </c>
      <c r="C29" s="25">
        <f>15000/3</f>
        <v>5000</v>
      </c>
      <c r="D29" s="25">
        <v>200000</v>
      </c>
      <c r="E29" s="99"/>
      <c r="F29" s="246">
        <f>C29+D29</f>
        <v>205000</v>
      </c>
      <c r="G29" s="27"/>
      <c r="H29" s="27"/>
      <c r="I29" s="100"/>
      <c r="J29" s="100"/>
      <c r="K29" s="100"/>
      <c r="L29" s="237"/>
    </row>
    <row r="30" spans="1:12" ht="12.75">
      <c r="A30" s="75">
        <v>6185</v>
      </c>
      <c r="B30" s="64" t="s">
        <v>99</v>
      </c>
      <c r="C30" s="25">
        <f>30000/3</f>
        <v>10000</v>
      </c>
      <c r="D30" s="25">
        <v>20000</v>
      </c>
      <c r="E30" s="99"/>
      <c r="F30" s="246">
        <f>C30+D30</f>
        <v>30000</v>
      </c>
      <c r="G30" s="27"/>
      <c r="H30" s="27"/>
      <c r="I30" s="100"/>
      <c r="J30" s="100"/>
      <c r="K30" s="100"/>
      <c r="L30" s="237"/>
    </row>
    <row r="31" spans="1:12" ht="12.75">
      <c r="A31" s="75"/>
      <c r="B31" s="24"/>
      <c r="C31" s="25"/>
      <c r="D31" s="25"/>
      <c r="E31" s="99"/>
      <c r="F31" s="246"/>
      <c r="G31" s="242"/>
      <c r="H31" s="158" t="s">
        <v>177</v>
      </c>
      <c r="I31" s="29">
        <f>C87-I22-I25-I26-I27</f>
        <v>0</v>
      </c>
      <c r="J31" s="69">
        <v>923841</v>
      </c>
      <c r="K31" s="29">
        <v>42584</v>
      </c>
      <c r="L31" s="69">
        <f>SUM(I31:K31)</f>
        <v>966425</v>
      </c>
    </row>
    <row r="32" spans="1:12" ht="12.75">
      <c r="A32" s="71">
        <v>62</v>
      </c>
      <c r="B32" s="76" t="s">
        <v>100</v>
      </c>
      <c r="C32" s="77"/>
      <c r="D32" s="77"/>
      <c r="E32" s="211"/>
      <c r="F32" s="247"/>
      <c r="G32" s="243"/>
      <c r="H32" s="63" t="s">
        <v>178</v>
      </c>
      <c r="I32" s="29"/>
      <c r="J32" s="69">
        <v>906103</v>
      </c>
      <c r="K32" s="29"/>
      <c r="L32" s="69">
        <f aca="true" t="shared" si="3" ref="L32:L33">SUM(I32:K32)</f>
        <v>906103</v>
      </c>
    </row>
    <row r="33" spans="1:12" ht="12.75">
      <c r="A33" s="75">
        <v>621</v>
      </c>
      <c r="B33" s="64" t="s">
        <v>101</v>
      </c>
      <c r="C33" s="87">
        <f>30000+25013+5000</f>
        <v>60013</v>
      </c>
      <c r="D33" s="87">
        <v>48837</v>
      </c>
      <c r="E33" s="212"/>
      <c r="F33" s="246">
        <f aca="true" t="shared" si="4" ref="F33:F41">C33+D33</f>
        <v>108850</v>
      </c>
      <c r="G33" s="27"/>
      <c r="H33" s="63" t="s">
        <v>188</v>
      </c>
      <c r="I33" s="25"/>
      <c r="J33" s="25"/>
      <c r="K33" s="29">
        <v>43300</v>
      </c>
      <c r="L33" s="69">
        <f t="shared" si="3"/>
        <v>43300</v>
      </c>
    </row>
    <row r="34" spans="1:12" ht="12.75">
      <c r="A34" s="75">
        <v>6226</v>
      </c>
      <c r="B34" s="64" t="s">
        <v>102</v>
      </c>
      <c r="C34" s="25">
        <v>5000</v>
      </c>
      <c r="D34" s="25">
        <v>15000</v>
      </c>
      <c r="E34" s="99"/>
      <c r="F34" s="246">
        <f t="shared" si="4"/>
        <v>20000</v>
      </c>
      <c r="G34" s="27"/>
      <c r="H34" s="27"/>
      <c r="I34" s="100"/>
      <c r="J34" s="100"/>
      <c r="K34" s="100"/>
      <c r="L34" s="237"/>
    </row>
    <row r="35" spans="1:12" ht="12.75">
      <c r="A35" s="75">
        <v>623</v>
      </c>
      <c r="B35" s="64" t="s">
        <v>103</v>
      </c>
      <c r="C35" s="25">
        <v>40000</v>
      </c>
      <c r="D35" s="25">
        <v>150000</v>
      </c>
      <c r="E35" s="99"/>
      <c r="F35" s="246">
        <f t="shared" si="4"/>
        <v>190000</v>
      </c>
      <c r="G35" s="27"/>
      <c r="H35" s="27"/>
      <c r="I35" s="100"/>
      <c r="J35" s="100"/>
      <c r="K35" s="100"/>
      <c r="L35" s="237"/>
    </row>
    <row r="36" spans="1:12" ht="12.75">
      <c r="A36" s="75">
        <v>6251</v>
      </c>
      <c r="B36" s="64" t="s">
        <v>104</v>
      </c>
      <c r="C36" s="25">
        <v>30000</v>
      </c>
      <c r="D36" s="25">
        <v>200000</v>
      </c>
      <c r="E36" s="99"/>
      <c r="F36" s="246">
        <f t="shared" si="4"/>
        <v>230000</v>
      </c>
      <c r="G36" s="27"/>
      <c r="H36" s="27"/>
      <c r="I36" s="100"/>
      <c r="J36" s="100"/>
      <c r="K36" s="100"/>
      <c r="L36" s="237"/>
    </row>
    <row r="37" spans="1:12" ht="12.75">
      <c r="A37" s="75">
        <v>6257</v>
      </c>
      <c r="B37" s="64" t="s">
        <v>105</v>
      </c>
      <c r="C37" s="25">
        <v>30000</v>
      </c>
      <c r="D37" s="25">
        <v>200000</v>
      </c>
      <c r="E37" s="99"/>
      <c r="F37" s="246">
        <f t="shared" si="4"/>
        <v>230000</v>
      </c>
      <c r="G37" s="27"/>
      <c r="H37" s="27"/>
      <c r="I37" s="100"/>
      <c r="J37" s="100"/>
      <c r="K37" s="100"/>
      <c r="L37" s="237"/>
    </row>
    <row r="38" spans="1:12" ht="12.75">
      <c r="A38" s="75">
        <v>626</v>
      </c>
      <c r="B38" s="64" t="s">
        <v>106</v>
      </c>
      <c r="C38" s="25">
        <f>60000/3</f>
        <v>20000</v>
      </c>
      <c r="D38" s="25">
        <v>30000</v>
      </c>
      <c r="E38" s="99"/>
      <c r="F38" s="246">
        <f t="shared" si="4"/>
        <v>50000</v>
      </c>
      <c r="G38" s="27"/>
      <c r="H38" s="27"/>
      <c r="I38" s="100"/>
      <c r="J38" s="100"/>
      <c r="K38" s="100"/>
      <c r="L38" s="237"/>
    </row>
    <row r="39" spans="1:12" ht="12.75">
      <c r="A39" s="75">
        <v>627</v>
      </c>
      <c r="B39" s="64" t="s">
        <v>107</v>
      </c>
      <c r="C39" s="25">
        <v>500</v>
      </c>
      <c r="D39" s="25">
        <v>0</v>
      </c>
      <c r="E39" s="99"/>
      <c r="F39" s="246">
        <f t="shared" si="4"/>
        <v>500</v>
      </c>
      <c r="G39" s="27"/>
      <c r="H39" s="27"/>
      <c r="I39" s="100"/>
      <c r="J39" s="100"/>
      <c r="K39" s="100"/>
      <c r="L39" s="237"/>
    </row>
    <row r="40" spans="1:13" ht="12.75">
      <c r="A40" s="75">
        <v>6281</v>
      </c>
      <c r="B40" s="64" t="s">
        <v>108</v>
      </c>
      <c r="C40" s="25">
        <f>6000/3</f>
        <v>2000</v>
      </c>
      <c r="D40" s="25">
        <v>15000</v>
      </c>
      <c r="E40" s="99"/>
      <c r="F40" s="246">
        <f t="shared" si="4"/>
        <v>17000</v>
      </c>
      <c r="G40" s="27"/>
      <c r="H40" s="27"/>
      <c r="I40" s="100"/>
      <c r="J40" s="100"/>
      <c r="K40" s="100"/>
      <c r="L40" s="237"/>
      <c r="M40" s="1"/>
    </row>
    <row r="41" spans="1:13" ht="12.75">
      <c r="A41" s="75">
        <v>6286</v>
      </c>
      <c r="B41" s="64" t="s">
        <v>109</v>
      </c>
      <c r="C41" s="25">
        <v>5000</v>
      </c>
      <c r="D41" s="25">
        <v>5000</v>
      </c>
      <c r="E41" s="99"/>
      <c r="F41" s="246">
        <f t="shared" si="4"/>
        <v>10000</v>
      </c>
      <c r="G41" s="27"/>
      <c r="H41" s="27"/>
      <c r="I41" s="100"/>
      <c r="J41" s="100"/>
      <c r="K41" s="100"/>
      <c r="L41" s="237"/>
      <c r="M41" s="1"/>
    </row>
    <row r="42" spans="1:13" ht="12.75">
      <c r="A42" s="75">
        <v>6288</v>
      </c>
      <c r="B42" s="64" t="s">
        <v>110</v>
      </c>
      <c r="C42" s="25">
        <f>300000/1.5</f>
        <v>200000</v>
      </c>
      <c r="D42" s="25">
        <f>600000</f>
        <v>600000</v>
      </c>
      <c r="E42" s="99">
        <f>24000-23750+10900+392500</f>
        <v>403650</v>
      </c>
      <c r="F42" s="246">
        <f>C42+D42+E42</f>
        <v>1203650</v>
      </c>
      <c r="G42" s="27"/>
      <c r="H42" s="27"/>
      <c r="I42" s="100"/>
      <c r="J42" s="100"/>
      <c r="K42" s="100"/>
      <c r="L42" s="237"/>
      <c r="M42" s="1"/>
    </row>
    <row r="43" spans="1:13" ht="12.75">
      <c r="A43" s="75"/>
      <c r="B43" s="24"/>
      <c r="C43" s="25"/>
      <c r="D43" s="25"/>
      <c r="E43" s="99"/>
      <c r="F43" s="246"/>
      <c r="G43" s="27"/>
      <c r="H43" s="27"/>
      <c r="I43" s="100"/>
      <c r="J43" s="100"/>
      <c r="K43" s="100"/>
      <c r="L43" s="237"/>
      <c r="M43" s="1"/>
    </row>
    <row r="44" spans="1:12" ht="12.75">
      <c r="A44" s="71">
        <v>63</v>
      </c>
      <c r="B44" s="76" t="s">
        <v>111</v>
      </c>
      <c r="C44" s="77"/>
      <c r="D44" s="77"/>
      <c r="E44" s="211"/>
      <c r="F44" s="247"/>
      <c r="G44" s="27"/>
      <c r="H44" s="27"/>
      <c r="I44" s="100"/>
      <c r="J44" s="100"/>
      <c r="K44" s="100"/>
      <c r="L44" s="237"/>
    </row>
    <row r="45" spans="1:12" ht="12.75">
      <c r="A45" s="75" t="s">
        <v>58</v>
      </c>
      <c r="B45" s="64" t="s">
        <v>112</v>
      </c>
      <c r="C45" s="87">
        <v>35000</v>
      </c>
      <c r="D45" s="87">
        <v>40790</v>
      </c>
      <c r="E45" s="212">
        <v>10161</v>
      </c>
      <c r="F45" s="246">
        <f>C45+D45+E45</f>
        <v>85951</v>
      </c>
      <c r="G45" s="27"/>
      <c r="H45" s="27"/>
      <c r="I45" s="100"/>
      <c r="J45" s="100"/>
      <c r="K45" s="100"/>
      <c r="L45" s="237"/>
    </row>
    <row r="46" spans="1:12" ht="12.75">
      <c r="A46" s="75" t="s">
        <v>64</v>
      </c>
      <c r="B46" s="64" t="s">
        <v>113</v>
      </c>
      <c r="C46" s="87">
        <v>6300</v>
      </c>
      <c r="D46" s="87">
        <v>7342</v>
      </c>
      <c r="E46" s="212">
        <v>1829</v>
      </c>
      <c r="F46" s="246">
        <f>C46+D46+E46</f>
        <v>15471</v>
      </c>
      <c r="G46" s="27"/>
      <c r="H46" s="27"/>
      <c r="I46" s="100"/>
      <c r="J46" s="100"/>
      <c r="K46" s="100"/>
      <c r="L46" s="237"/>
    </row>
    <row r="47" spans="1:13" ht="12.75">
      <c r="A47" s="75" t="s">
        <v>59</v>
      </c>
      <c r="B47" s="24" t="s">
        <v>50</v>
      </c>
      <c r="C47" s="87">
        <v>350</v>
      </c>
      <c r="D47" s="87">
        <v>408</v>
      </c>
      <c r="E47" s="212">
        <v>102</v>
      </c>
      <c r="F47" s="246">
        <f>C47+D47+E47</f>
        <v>860</v>
      </c>
      <c r="G47" s="27"/>
      <c r="H47" s="27"/>
      <c r="I47" s="100"/>
      <c r="J47" s="100"/>
      <c r="K47" s="100"/>
      <c r="L47" s="237"/>
      <c r="M47" s="1"/>
    </row>
    <row r="48" spans="1:12" ht="12.75">
      <c r="A48" s="75"/>
      <c r="B48" s="24"/>
      <c r="C48" s="87"/>
      <c r="D48" s="87"/>
      <c r="E48" s="212"/>
      <c r="F48" s="246"/>
      <c r="G48" s="27"/>
      <c r="H48" s="27"/>
      <c r="I48" s="100"/>
      <c r="J48" s="100"/>
      <c r="K48" s="100"/>
      <c r="L48" s="237"/>
    </row>
    <row r="49" spans="1:12" ht="12.75">
      <c r="A49" s="71">
        <v>64</v>
      </c>
      <c r="B49" s="76" t="s">
        <v>114</v>
      </c>
      <c r="C49" s="88"/>
      <c r="D49" s="88"/>
      <c r="E49" s="213"/>
      <c r="F49" s="247"/>
      <c r="G49" s="27"/>
      <c r="H49" s="27"/>
      <c r="I49" s="100"/>
      <c r="J49" s="100"/>
      <c r="K49" s="100"/>
      <c r="L49" s="237"/>
    </row>
    <row r="50" spans="1:12" ht="12.75">
      <c r="A50" s="75">
        <v>641</v>
      </c>
      <c r="B50" s="64" t="s">
        <v>115</v>
      </c>
      <c r="C50" s="87">
        <v>349996</v>
      </c>
      <c r="D50" s="87">
        <f>407901</f>
        <v>407901</v>
      </c>
      <c r="E50" s="212">
        <v>101606</v>
      </c>
      <c r="F50" s="246">
        <f>C50+D50+E50</f>
        <v>859503</v>
      </c>
      <c r="G50" s="27"/>
      <c r="H50" s="27"/>
      <c r="I50" s="100"/>
      <c r="J50" s="100"/>
      <c r="K50" s="100"/>
      <c r="L50" s="237"/>
    </row>
    <row r="51" spans="1:12" ht="12.75">
      <c r="A51" s="75">
        <v>6451</v>
      </c>
      <c r="B51" s="24" t="s">
        <v>51</v>
      </c>
      <c r="C51" s="87">
        <v>104999</v>
      </c>
      <c r="D51" s="87">
        <v>122370</v>
      </c>
      <c r="E51" s="212">
        <v>30482</v>
      </c>
      <c r="F51" s="246">
        <f>C51+D51+E51</f>
        <v>257851</v>
      </c>
      <c r="G51" s="27"/>
      <c r="H51" s="27"/>
      <c r="I51" s="100"/>
      <c r="J51" s="100"/>
      <c r="K51" s="100"/>
      <c r="L51" s="237"/>
    </row>
    <row r="52" spans="1:12" ht="12.75">
      <c r="A52" s="75">
        <v>6453</v>
      </c>
      <c r="B52" s="24" t="s">
        <v>52</v>
      </c>
      <c r="C52" s="87">
        <v>11830</v>
      </c>
      <c r="D52" s="87">
        <v>13787</v>
      </c>
      <c r="E52" s="212">
        <v>3434</v>
      </c>
      <c r="F52" s="246">
        <f>C52+D52+E52</f>
        <v>29051</v>
      </c>
      <c r="G52" s="27"/>
      <c r="H52" s="27"/>
      <c r="I52" s="100"/>
      <c r="J52" s="100"/>
      <c r="K52" s="100"/>
      <c r="L52" s="237"/>
    </row>
    <row r="53" spans="1:12" ht="12.75">
      <c r="A53" s="75">
        <v>6454</v>
      </c>
      <c r="B53" s="24" t="s">
        <v>53</v>
      </c>
      <c r="C53" s="87">
        <v>18900</v>
      </c>
      <c r="D53" s="87">
        <v>22027</v>
      </c>
      <c r="E53" s="212">
        <v>5486</v>
      </c>
      <c r="F53" s="246">
        <f>C53+D53+E53</f>
        <v>46413</v>
      </c>
      <c r="G53" s="27"/>
      <c r="H53" s="27"/>
      <c r="I53" s="100"/>
      <c r="J53" s="100"/>
      <c r="K53" s="100"/>
      <c r="L53" s="237"/>
    </row>
    <row r="54" spans="1:12" ht="12.75">
      <c r="A54" s="75">
        <v>646</v>
      </c>
      <c r="B54" s="64" t="s">
        <v>116</v>
      </c>
      <c r="C54" s="68">
        <v>7000</v>
      </c>
      <c r="D54" s="68">
        <v>18000</v>
      </c>
      <c r="E54" s="214"/>
      <c r="F54" s="246">
        <f>C54+D54</f>
        <v>25000</v>
      </c>
      <c r="G54" s="27"/>
      <c r="H54" s="27"/>
      <c r="I54" s="100"/>
      <c r="J54" s="100"/>
      <c r="K54" s="100"/>
      <c r="L54" s="237"/>
    </row>
    <row r="55" spans="1:12" ht="12.75">
      <c r="A55" s="75"/>
      <c r="B55" s="24"/>
      <c r="C55" s="30"/>
      <c r="D55" s="30"/>
      <c r="E55" s="215"/>
      <c r="F55" s="246"/>
      <c r="G55" s="27"/>
      <c r="H55" s="27"/>
      <c r="I55" s="100"/>
      <c r="J55" s="100"/>
      <c r="K55" s="100"/>
      <c r="L55" s="237"/>
    </row>
    <row r="56" spans="1:12" ht="12.75">
      <c r="A56" s="71">
        <v>65</v>
      </c>
      <c r="B56" s="76" t="s">
        <v>117</v>
      </c>
      <c r="C56" s="77"/>
      <c r="D56" s="77"/>
      <c r="E56" s="211"/>
      <c r="F56" s="247"/>
      <c r="G56" s="27"/>
      <c r="H56" s="27"/>
      <c r="I56" s="100"/>
      <c r="J56" s="100"/>
      <c r="K56" s="100"/>
      <c r="L56" s="237"/>
    </row>
    <row r="57" spans="1:12" ht="12.75">
      <c r="A57" s="75">
        <v>651</v>
      </c>
      <c r="B57" s="64" t="s">
        <v>118</v>
      </c>
      <c r="C57" s="25">
        <v>2000</v>
      </c>
      <c r="D57" s="25">
        <v>8000</v>
      </c>
      <c r="E57" s="99"/>
      <c r="F57" s="246">
        <f>C57+D57</f>
        <v>10000</v>
      </c>
      <c r="G57" s="27"/>
      <c r="H57" s="27"/>
      <c r="I57" s="100"/>
      <c r="J57" s="100"/>
      <c r="K57" s="100"/>
      <c r="L57" s="237"/>
    </row>
    <row r="58" spans="1:12" ht="12.75">
      <c r="A58" s="75">
        <v>6571</v>
      </c>
      <c r="B58" s="64" t="s">
        <v>119</v>
      </c>
      <c r="C58" s="25">
        <f>8000/4</f>
        <v>2000</v>
      </c>
      <c r="D58" s="25">
        <v>0</v>
      </c>
      <c r="E58" s="99"/>
      <c r="F58" s="246">
        <f>C58+D58</f>
        <v>2000</v>
      </c>
      <c r="G58" s="27"/>
      <c r="H58" s="27"/>
      <c r="I58" s="100"/>
      <c r="J58" s="100"/>
      <c r="K58" s="100"/>
      <c r="L58" s="237"/>
    </row>
    <row r="59" spans="1:12" ht="12.75">
      <c r="A59" s="75">
        <v>6572</v>
      </c>
      <c r="B59" s="64" t="s">
        <v>120</v>
      </c>
      <c r="C59" s="25">
        <v>0</v>
      </c>
      <c r="D59" s="25">
        <v>2500</v>
      </c>
      <c r="E59" s="99"/>
      <c r="F59" s="246">
        <f>C59+D59</f>
        <v>2500</v>
      </c>
      <c r="G59" s="27"/>
      <c r="H59" s="27"/>
      <c r="I59" s="100"/>
      <c r="J59" s="100"/>
      <c r="K59" s="100"/>
      <c r="L59" s="237"/>
    </row>
    <row r="60" spans="1:12" ht="12.75">
      <c r="A60" s="75">
        <v>658</v>
      </c>
      <c r="B60" s="64" t="s">
        <v>121</v>
      </c>
      <c r="C60" s="25">
        <v>1000</v>
      </c>
      <c r="D60" s="25">
        <v>9000</v>
      </c>
      <c r="E60" s="99"/>
      <c r="F60" s="246">
        <f>C60+D60</f>
        <v>10000</v>
      </c>
      <c r="G60" s="27"/>
      <c r="H60" s="27"/>
      <c r="I60" s="100"/>
      <c r="J60" s="100"/>
      <c r="K60" s="100"/>
      <c r="L60" s="237"/>
    </row>
    <row r="61" spans="1:12" ht="12.75">
      <c r="A61" s="75">
        <v>6576</v>
      </c>
      <c r="B61" s="64" t="s">
        <v>122</v>
      </c>
      <c r="C61" s="25">
        <v>45000</v>
      </c>
      <c r="D61" s="25">
        <v>30000</v>
      </c>
      <c r="E61" s="99">
        <v>520000</v>
      </c>
      <c r="F61" s="246">
        <f>C61+D61+E61</f>
        <v>595000</v>
      </c>
      <c r="G61" s="27"/>
      <c r="H61" s="27"/>
      <c r="I61" s="100"/>
      <c r="J61" s="100"/>
      <c r="K61" s="100"/>
      <c r="L61" s="237"/>
    </row>
    <row r="62" spans="1:12" ht="12.75">
      <c r="A62" s="75"/>
      <c r="B62" s="24"/>
      <c r="C62" s="25"/>
      <c r="D62" s="25"/>
      <c r="E62" s="99"/>
      <c r="F62" s="246"/>
      <c r="G62" s="27"/>
      <c r="H62" s="27"/>
      <c r="I62" s="100"/>
      <c r="J62" s="100"/>
      <c r="K62" s="100"/>
      <c r="L62" s="237"/>
    </row>
    <row r="63" spans="1:12" ht="12.75">
      <c r="A63" s="71">
        <v>67</v>
      </c>
      <c r="B63" s="76"/>
      <c r="C63" s="77"/>
      <c r="D63" s="77"/>
      <c r="E63" s="211"/>
      <c r="F63" s="247"/>
      <c r="G63" s="27"/>
      <c r="H63" s="27"/>
      <c r="I63" s="100"/>
      <c r="J63" s="100"/>
      <c r="K63" s="100"/>
      <c r="L63" s="237"/>
    </row>
    <row r="64" spans="1:12" ht="12.75">
      <c r="A64" s="75">
        <v>6715</v>
      </c>
      <c r="B64" s="64" t="s">
        <v>123</v>
      </c>
      <c r="C64" s="25">
        <v>45000</v>
      </c>
      <c r="D64" s="25">
        <v>400000</v>
      </c>
      <c r="E64" s="99"/>
      <c r="F64" s="246">
        <f>C64+D64</f>
        <v>445000</v>
      </c>
      <c r="G64" s="27"/>
      <c r="H64" s="27"/>
      <c r="I64" s="100"/>
      <c r="J64" s="100"/>
      <c r="K64" s="100"/>
      <c r="L64" s="237"/>
    </row>
    <row r="65" spans="1:12" ht="12.75">
      <c r="A65" s="75">
        <v>6718</v>
      </c>
      <c r="B65" s="64" t="s">
        <v>124</v>
      </c>
      <c r="C65" s="25">
        <v>1000</v>
      </c>
      <c r="D65" s="25">
        <v>20000</v>
      </c>
      <c r="E65" s="99"/>
      <c r="F65" s="246">
        <f>C65+D65</f>
        <v>21000</v>
      </c>
      <c r="G65" s="27"/>
      <c r="H65" s="27"/>
      <c r="I65" s="100"/>
      <c r="J65" s="100"/>
      <c r="K65" s="100"/>
      <c r="L65" s="237"/>
    </row>
    <row r="66" spans="1:12" ht="12.75">
      <c r="A66" s="75"/>
      <c r="B66" s="24"/>
      <c r="C66" s="25"/>
      <c r="D66" s="25"/>
      <c r="E66" s="99"/>
      <c r="F66" s="246"/>
      <c r="G66" s="27"/>
      <c r="H66" s="27"/>
      <c r="I66" s="100"/>
      <c r="J66" s="100"/>
      <c r="K66" s="100"/>
      <c r="L66" s="237"/>
    </row>
    <row r="67" spans="1:13" ht="12.75">
      <c r="A67" s="71">
        <v>68</v>
      </c>
      <c r="B67" s="76" t="s">
        <v>125</v>
      </c>
      <c r="C67" s="77"/>
      <c r="D67" s="77"/>
      <c r="E67" s="211"/>
      <c r="F67" s="247"/>
      <c r="G67" s="27"/>
      <c r="H67" s="27"/>
      <c r="I67" s="100"/>
      <c r="J67" s="100"/>
      <c r="K67" s="100"/>
      <c r="L67" s="237"/>
      <c r="M67" s="1"/>
    </row>
    <row r="68" spans="1:12" ht="12.75">
      <c r="A68" s="75">
        <v>6811</v>
      </c>
      <c r="B68" s="64" t="s">
        <v>125</v>
      </c>
      <c r="C68" s="25">
        <v>0</v>
      </c>
      <c r="D68" s="25">
        <v>115000</v>
      </c>
      <c r="E68" s="99"/>
      <c r="F68" s="246">
        <f>C68+D68</f>
        <v>115000</v>
      </c>
      <c r="G68" s="27"/>
      <c r="H68" s="27"/>
      <c r="I68" s="100"/>
      <c r="J68" s="100"/>
      <c r="K68" s="100"/>
      <c r="L68" s="237"/>
    </row>
    <row r="69" spans="1:12" ht="12.75">
      <c r="A69" s="75"/>
      <c r="B69" s="64"/>
      <c r="C69" s="25"/>
      <c r="D69" s="25"/>
      <c r="E69" s="99"/>
      <c r="F69" s="246"/>
      <c r="G69" s="27"/>
      <c r="H69" s="27"/>
      <c r="I69" s="100"/>
      <c r="J69" s="100"/>
      <c r="K69" s="100"/>
      <c r="L69" s="237"/>
    </row>
    <row r="70" spans="1:12" ht="12.75">
      <c r="A70" s="75"/>
      <c r="B70" s="63" t="s">
        <v>127</v>
      </c>
      <c r="C70" s="29">
        <f>SUM(C15:C69)</f>
        <v>1359450</v>
      </c>
      <c r="D70" s="29">
        <f>SUM(D15:D69)</f>
        <v>2979994</v>
      </c>
      <c r="E70" s="29"/>
      <c r="F70" s="248"/>
      <c r="G70" s="27"/>
      <c r="H70" s="67"/>
      <c r="I70" s="100"/>
      <c r="J70" s="100"/>
      <c r="K70" s="100"/>
      <c r="L70" s="237"/>
    </row>
    <row r="71" spans="1:12" ht="12.75">
      <c r="A71" s="81"/>
      <c r="B71" s="82"/>
      <c r="C71" s="67"/>
      <c r="D71" s="67"/>
      <c r="E71" s="67"/>
      <c r="F71" s="249"/>
      <c r="G71" s="27"/>
      <c r="H71" s="27"/>
      <c r="I71" s="100"/>
      <c r="J71" s="100"/>
      <c r="K71" s="100"/>
      <c r="L71" s="237"/>
    </row>
    <row r="72" spans="1:12" ht="12.75">
      <c r="A72" s="250" t="s">
        <v>128</v>
      </c>
      <c r="B72" s="82"/>
      <c r="C72" s="67"/>
      <c r="D72" s="67"/>
      <c r="E72" s="67"/>
      <c r="F72" s="249"/>
      <c r="G72" s="27"/>
      <c r="H72" s="27"/>
      <c r="I72" s="100"/>
      <c r="J72" s="100"/>
      <c r="K72" s="100"/>
      <c r="L72" s="237"/>
    </row>
    <row r="73" spans="1:12" ht="12.75">
      <c r="A73" s="305"/>
      <c r="B73" s="305"/>
      <c r="C73" s="305"/>
      <c r="D73" s="219"/>
      <c r="E73" s="219"/>
      <c r="F73" s="249"/>
      <c r="G73" s="27"/>
      <c r="H73" s="27"/>
      <c r="I73" s="100"/>
      <c r="J73" s="100"/>
      <c r="K73" s="100"/>
      <c r="L73" s="237"/>
    </row>
    <row r="74" spans="1:12" ht="12.75">
      <c r="A74" s="75">
        <v>2053</v>
      </c>
      <c r="B74" s="24" t="s">
        <v>54</v>
      </c>
      <c r="C74" s="25">
        <v>750</v>
      </c>
      <c r="D74" s="25">
        <v>2000</v>
      </c>
      <c r="E74" s="25"/>
      <c r="F74" s="248">
        <f>C74+D74</f>
        <v>2750</v>
      </c>
      <c r="G74" s="27"/>
      <c r="H74" s="27"/>
      <c r="I74" s="100"/>
      <c r="J74" s="100"/>
      <c r="K74" s="100"/>
      <c r="L74" s="237"/>
    </row>
    <row r="75" spans="1:12" ht="12.75">
      <c r="A75" s="75">
        <v>215</v>
      </c>
      <c r="B75" s="24" t="s">
        <v>55</v>
      </c>
      <c r="C75" s="25">
        <v>0</v>
      </c>
      <c r="D75" s="25"/>
      <c r="E75" s="99">
        <v>2000000</v>
      </c>
      <c r="F75" s="246">
        <f>C75+D75+E75</f>
        <v>2000000</v>
      </c>
      <c r="G75" s="27"/>
      <c r="H75" s="27"/>
      <c r="I75" s="100"/>
      <c r="J75" s="100"/>
      <c r="K75" s="100"/>
      <c r="L75" s="237"/>
    </row>
    <row r="76" spans="1:12" ht="12.75">
      <c r="A76" s="75">
        <v>2183</v>
      </c>
      <c r="B76" s="24" t="s">
        <v>56</v>
      </c>
      <c r="C76" s="25">
        <v>15000</v>
      </c>
      <c r="D76" s="25">
        <v>30000</v>
      </c>
      <c r="E76" s="99">
        <v>-9000</v>
      </c>
      <c r="F76" s="246">
        <f>C76+D76+E76</f>
        <v>36000</v>
      </c>
      <c r="G76" s="27"/>
      <c r="H76" s="27"/>
      <c r="I76" s="100"/>
      <c r="J76" s="100"/>
      <c r="K76" s="100"/>
      <c r="L76" s="237"/>
    </row>
    <row r="77" spans="1:12" ht="12.75">
      <c r="A77" s="75">
        <v>2184</v>
      </c>
      <c r="B77" s="24" t="s">
        <v>57</v>
      </c>
      <c r="C77" s="25">
        <v>35000</v>
      </c>
      <c r="D77" s="25">
        <v>20250</v>
      </c>
      <c r="E77" s="99">
        <v>-10000</v>
      </c>
      <c r="F77" s="246">
        <f>C77+D77+E77</f>
        <v>45250</v>
      </c>
      <c r="G77" s="27"/>
      <c r="H77" s="27"/>
      <c r="I77" s="100"/>
      <c r="J77" s="100"/>
      <c r="K77" s="100"/>
      <c r="L77" s="237"/>
    </row>
    <row r="78" spans="1:12" ht="12.75">
      <c r="A78" s="75">
        <v>261</v>
      </c>
      <c r="B78" s="24" t="s">
        <v>137</v>
      </c>
      <c r="C78" s="25"/>
      <c r="D78" s="25">
        <v>125000</v>
      </c>
      <c r="E78" s="99"/>
      <c r="F78" s="246">
        <f>C78+D78</f>
        <v>125000</v>
      </c>
      <c r="G78" s="27"/>
      <c r="H78" s="27"/>
      <c r="I78" s="100"/>
      <c r="J78" s="100"/>
      <c r="K78" s="100"/>
      <c r="L78" s="237"/>
    </row>
    <row r="79" spans="1:12" ht="12.75">
      <c r="A79" s="78"/>
      <c r="B79" s="63" t="s">
        <v>129</v>
      </c>
      <c r="C79" s="26">
        <f>SUM(C74:C77)</f>
        <v>50750</v>
      </c>
      <c r="D79" s="26">
        <f>SUM(D74:D78)</f>
        <v>177250</v>
      </c>
      <c r="E79" s="216"/>
      <c r="F79" s="246"/>
      <c r="G79" s="84"/>
      <c r="H79" s="84"/>
      <c r="I79" s="119"/>
      <c r="J79" s="100"/>
      <c r="K79" s="100"/>
      <c r="L79" s="237"/>
    </row>
    <row r="80" spans="1:12" ht="12.75">
      <c r="A80" s="81"/>
      <c r="B80" s="27"/>
      <c r="C80" s="67"/>
      <c r="D80" s="67"/>
      <c r="E80" s="67"/>
      <c r="F80" s="249"/>
      <c r="I80" s="100"/>
      <c r="J80" s="100"/>
      <c r="K80" s="100"/>
      <c r="L80" s="238"/>
    </row>
    <row r="81" spans="1:12" ht="12.75">
      <c r="A81" s="75"/>
      <c r="B81" s="85" t="s">
        <v>130</v>
      </c>
      <c r="C81" s="69">
        <f>C70+C79</f>
        <v>1410200</v>
      </c>
      <c r="D81" s="69">
        <f>D70+D79</f>
        <v>3157244</v>
      </c>
      <c r="E81" s="241">
        <f>SUM(E15:E79)</f>
        <v>3101050</v>
      </c>
      <c r="F81" s="251">
        <f>SUM(F15:F80)</f>
        <v>7668494</v>
      </c>
      <c r="G81" s="98"/>
      <c r="H81" s="159" t="s">
        <v>131</v>
      </c>
      <c r="I81" s="69">
        <f>I15+I18+I19+I21+I25</f>
        <v>1410200</v>
      </c>
      <c r="J81" s="69">
        <f>SUM(J15:J80)</f>
        <v>3157244</v>
      </c>
      <c r="K81" s="241">
        <f>SUM(K15:K80)</f>
        <v>3101050</v>
      </c>
      <c r="L81" s="69">
        <f>SUM(I81:K81)</f>
        <v>7668494</v>
      </c>
    </row>
    <row r="84" ht="12.75">
      <c r="J84" s="1"/>
    </row>
    <row r="85" ht="12.75">
      <c r="F85" s="1"/>
    </row>
    <row r="86" ht="12.75">
      <c r="E86" s="1"/>
    </row>
    <row r="88" spans="5:8" ht="12.75">
      <c r="E88" s="1"/>
      <c r="H88" s="1"/>
    </row>
  </sheetData>
  <mergeCells count="5">
    <mergeCell ref="A73:C73"/>
    <mergeCell ref="A12:F12"/>
    <mergeCell ref="G12:L12"/>
    <mergeCell ref="A9:L9"/>
    <mergeCell ref="A7:L7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64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7:D25"/>
  <sheetViews>
    <sheetView tabSelected="1" workbookViewId="0" topLeftCell="A9">
      <selection activeCell="G22" sqref="G22"/>
    </sheetView>
  </sheetViews>
  <sheetFormatPr defaultColWidth="11.421875" defaultRowHeight="15" customHeight="1"/>
  <cols>
    <col min="2" max="2" width="40.57421875" style="0" customWidth="1"/>
    <col min="3" max="3" width="17.140625" style="0" customWidth="1"/>
  </cols>
  <sheetData>
    <row r="7" ht="15" customHeight="1">
      <c r="A7" s="34"/>
    </row>
    <row r="8" ht="18">
      <c r="A8" s="148" t="s">
        <v>67</v>
      </c>
    </row>
    <row r="9" ht="18">
      <c r="A9" s="148"/>
    </row>
    <row r="11" spans="1:4" ht="15" customHeight="1">
      <c r="A11" s="311" t="s">
        <v>187</v>
      </c>
      <c r="B11" s="311"/>
      <c r="C11" s="311"/>
      <c r="D11" s="311"/>
    </row>
    <row r="12" spans="1:3" ht="15" customHeight="1">
      <c r="A12" s="3"/>
      <c r="B12" s="3"/>
      <c r="C12" s="3"/>
    </row>
    <row r="13" spans="1:4" ht="15" customHeight="1">
      <c r="A13" s="304" t="s">
        <v>31</v>
      </c>
      <c r="B13" s="304"/>
      <c r="C13" s="304"/>
      <c r="D13" s="304"/>
    </row>
    <row r="14" s="2" customFormat="1" ht="15" customHeight="1"/>
    <row r="17" spans="1:4" s="4" customFormat="1" ht="30" customHeight="1">
      <c r="A17" s="5" t="s">
        <v>32</v>
      </c>
      <c r="B17" s="6" t="s">
        <v>66</v>
      </c>
      <c r="C17" s="7">
        <f>'DBM 2 '!E39+'DBM 2 '!E40</f>
        <v>67300</v>
      </c>
      <c r="D17" s="9">
        <f>C17/C23</f>
        <v>0.0217023266313023</v>
      </c>
    </row>
    <row r="18" spans="1:4" s="4" customFormat="1" ht="30" customHeight="1">
      <c r="A18" s="5">
        <v>105</v>
      </c>
      <c r="B18" s="6" t="s">
        <v>29</v>
      </c>
      <c r="C18" s="7">
        <v>0</v>
      </c>
      <c r="D18" s="9">
        <f>C18/C23</f>
        <v>0</v>
      </c>
    </row>
    <row r="19" spans="1:4" s="4" customFormat="1" ht="30" customHeight="1">
      <c r="A19" s="5" t="s">
        <v>33</v>
      </c>
      <c r="B19" s="6" t="s">
        <v>79</v>
      </c>
      <c r="C19" s="7">
        <f>'DBM 2 '!E16+'DBM 2 '!H16+'DBM 2 '!K16</f>
        <v>2565000</v>
      </c>
      <c r="D19" s="9">
        <f>C19/C23</f>
        <v>0.8271391947888619</v>
      </c>
    </row>
    <row r="20" spans="1:4" s="4" customFormat="1" ht="30" customHeight="1">
      <c r="A20" s="5">
        <v>113</v>
      </c>
      <c r="B20" s="6" t="s">
        <v>30</v>
      </c>
      <c r="C20" s="7">
        <v>0</v>
      </c>
      <c r="D20" s="9">
        <f>C20/C23</f>
        <v>0</v>
      </c>
    </row>
    <row r="21" spans="1:4" s="4" customFormat="1" ht="30" customHeight="1">
      <c r="A21" s="5">
        <v>114</v>
      </c>
      <c r="B21" s="6" t="s">
        <v>62</v>
      </c>
      <c r="C21" s="7">
        <v>0</v>
      </c>
      <c r="D21" s="9">
        <f>C21/C23</f>
        <v>0</v>
      </c>
    </row>
    <row r="22" spans="1:4" s="4" customFormat="1" ht="30" customHeight="1">
      <c r="A22" s="5">
        <v>115</v>
      </c>
      <c r="B22" s="6" t="s">
        <v>78</v>
      </c>
      <c r="C22" s="7">
        <f>'DBM 2 '!E45+'DBM 2 '!H45</f>
        <v>468750</v>
      </c>
      <c r="D22" s="9">
        <f>C22/C23</f>
        <v>0.15115847857983586</v>
      </c>
    </row>
    <row r="23" spans="1:4" s="4" customFormat="1" ht="30" customHeight="1">
      <c r="A23" s="312" t="s">
        <v>4</v>
      </c>
      <c r="B23" s="313"/>
      <c r="C23" s="8">
        <f>SUM(C17:C22)</f>
        <v>3101050</v>
      </c>
      <c r="D23" s="10">
        <f>SUM(D17:D22)</f>
        <v>1</v>
      </c>
    </row>
    <row r="25" ht="15" customHeight="1">
      <c r="C25" s="1"/>
    </row>
  </sheetData>
  <mergeCells count="3">
    <mergeCell ref="A11:D11"/>
    <mergeCell ref="A13:D13"/>
    <mergeCell ref="A23:B2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Pôle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 Claron</dc:creator>
  <cp:keywords/>
  <dc:description/>
  <cp:lastModifiedBy>Anne de Lamotte</cp:lastModifiedBy>
  <cp:lastPrinted>2011-06-01T15:11:07Z</cp:lastPrinted>
  <dcterms:created xsi:type="dcterms:W3CDTF">2009-11-06T08:37:45Z</dcterms:created>
  <dcterms:modified xsi:type="dcterms:W3CDTF">2011-06-01T15:11:14Z</dcterms:modified>
  <cp:category/>
  <cp:version/>
  <cp:contentType/>
  <cp:contentStatus/>
</cp:coreProperties>
</file>